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" windowWidth="10035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64" i="1"/>
  <c r="L7" l="1"/>
  <c r="R71"/>
  <c r="R72"/>
  <c r="D86"/>
  <c r="C67"/>
  <c r="C86" l="1"/>
  <c r="C72"/>
  <c r="C71"/>
  <c r="C70"/>
  <c r="C69"/>
  <c r="L8"/>
  <c r="C61" s="1"/>
  <c r="C60"/>
  <c r="C80" l="1"/>
  <c r="C63"/>
  <c r="C66"/>
  <c r="C65"/>
  <c r="C83" l="1"/>
  <c r="C81"/>
  <c r="C82" s="1"/>
  <c r="D70"/>
  <c r="G28"/>
  <c r="C85" l="1"/>
  <c r="D72"/>
  <c r="D69"/>
  <c r="D80" s="1"/>
  <c r="D81" s="1"/>
  <c r="D82" s="1"/>
  <c r="C87" l="1"/>
  <c r="C88" s="1"/>
  <c r="C89" s="1"/>
  <c r="D71"/>
  <c r="D83" l="1"/>
  <c r="D84" l="1"/>
  <c r="D85" s="1"/>
  <c r="D87" s="1"/>
  <c r="D88" s="1"/>
  <c r="D89" s="1"/>
  <c r="D27" s="1"/>
</calcChain>
</file>

<file path=xl/sharedStrings.xml><?xml version="1.0" encoding="utf-8"?>
<sst xmlns="http://schemas.openxmlformats.org/spreadsheetml/2006/main" count="93" uniqueCount="84">
  <si>
    <t>Resolution width</t>
  </si>
  <si>
    <t>pixels</t>
  </si>
  <si>
    <t>Resolution height</t>
  </si>
  <si>
    <t>bit/pixel</t>
  </si>
  <si>
    <t>CXP interface bitdepth</t>
  </si>
  <si>
    <t>CXP Packetsize</t>
  </si>
  <si>
    <t>Number of CXP links</t>
  </si>
  <si>
    <t>Selectable between 1, 2 and 4 links</t>
  </si>
  <si>
    <t>CXP frequency</t>
  </si>
  <si>
    <t>Gbps</t>
  </si>
  <si>
    <t>Selectable between 3,125 and 6,25</t>
  </si>
  <si>
    <t>Interface utilization</t>
  </si>
  <si>
    <t>%</t>
  </si>
  <si>
    <t>percentage of bandwidth used for linerate</t>
  </si>
  <si>
    <t>can be switched between 8 and 10 bit</t>
  </si>
  <si>
    <t>minimal 32 rows required</t>
  </si>
  <si>
    <t>decrease width resolution will not increase sensor framerate</t>
  </si>
  <si>
    <t>Approximate Calculations</t>
  </si>
  <si>
    <t>effective</t>
  </si>
  <si>
    <t># columns</t>
  </si>
  <si>
    <t># column width</t>
  </si>
  <si>
    <t># row</t>
  </si>
  <si>
    <t>pixel</t>
  </si>
  <si>
    <t># row height</t>
  </si>
  <si>
    <t>Interface Config</t>
  </si>
  <si>
    <t>Maximum Framespeed</t>
  </si>
  <si>
    <t>FPS</t>
  </si>
  <si>
    <t>MPX</t>
  </si>
  <si>
    <t>@</t>
  </si>
  <si>
    <t>CXP interface</t>
  </si>
  <si>
    <t>Bit</t>
  </si>
  <si>
    <t>Interface bitdepth</t>
  </si>
  <si>
    <t>CXP packetsize</t>
  </si>
  <si>
    <t># CXP links</t>
  </si>
  <si>
    <t>Bit/pixel</t>
  </si>
  <si>
    <t>IF bit/pixel</t>
  </si>
  <si>
    <t>CXPlinks</t>
  </si>
  <si>
    <t>CXP freq</t>
  </si>
  <si>
    <t>Interface utilization factor</t>
  </si>
  <si>
    <t xml:space="preserve">50-100%: decrease data throughput </t>
  </si>
  <si>
    <t>ReadOutMode</t>
  </si>
  <si>
    <t>Sensor</t>
  </si>
  <si>
    <t>ROT clks</t>
  </si>
  <si>
    <t>Black lines</t>
  </si>
  <si>
    <t>shutter inserted rows</t>
  </si>
  <si>
    <t>FOT[us]</t>
  </si>
  <si>
    <t>FOT sensitive [us]</t>
  </si>
  <si>
    <t>AreaScan</t>
  </si>
  <si>
    <t>Mode</t>
  </si>
  <si>
    <t>Area scan</t>
  </si>
  <si>
    <t>Nr of sensor channels</t>
  </si>
  <si>
    <t>minimum 16; multiples of 16</t>
  </si>
  <si>
    <t>minimum 2; multiples of 2</t>
  </si>
  <si>
    <t>ZR</t>
  </si>
  <si>
    <t>NR</t>
  </si>
  <si>
    <t>Binning</t>
  </si>
  <si>
    <t>Sensor Binning H</t>
  </si>
  <si>
    <t>Sensor Binning V</t>
  </si>
  <si>
    <t># horizontal binning</t>
  </si>
  <si>
    <t># vertical binning</t>
  </si>
  <si>
    <t>STAW</t>
  </si>
  <si>
    <t>FPGA Binning H</t>
  </si>
  <si>
    <t>FPGA Binning V</t>
  </si>
  <si>
    <t>Patchcount</t>
  </si>
  <si>
    <t>Pixel data clocks</t>
  </si>
  <si>
    <t>Sensor line time clocks</t>
  </si>
  <si>
    <t>ClksPerVideoLine</t>
  </si>
  <si>
    <t>ClksPerBlackLine</t>
  </si>
  <si>
    <t>PatchWidth</t>
  </si>
  <si>
    <t>Sensor min fp</t>
  </si>
  <si>
    <t>Sensor clock Mhz</t>
  </si>
  <si>
    <t>Extra margin us</t>
  </si>
  <si>
    <t>Framerate</t>
  </si>
  <si>
    <t>No binning</t>
  </si>
  <si>
    <t>Interface clks</t>
  </si>
  <si>
    <t xml:space="preserve">Framerate </t>
  </si>
  <si>
    <t>Extra delay</t>
  </si>
  <si>
    <t>N-5A100 CXP Framerate calculator</t>
  </si>
  <si>
    <t>Input Field Of View</t>
  </si>
  <si>
    <t>Max field of view</t>
  </si>
  <si>
    <t>Region Of Interest selector</t>
  </si>
  <si>
    <t>version 0.05</t>
  </si>
  <si>
    <t>v1.0</t>
  </si>
  <si>
    <t>Packetsize configuration will influence data throughput.  Max value: 4096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</si>
</sst>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E+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8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rgb="FF008000"/>
      <name val="Calibri"/>
      <family val="2"/>
      <scheme val="minor"/>
    </font>
    <font>
      <sz val="18"/>
      <color rgb="FF008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0" fillId="2" borderId="0" xfId="0" applyFont="1" applyFill="1" applyAlignment="1" applyProtection="1">
      <alignment vertical="center"/>
    </xf>
    <xf numFmtId="0" fontId="11" fillId="5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0" fillId="0" borderId="0" xfId="0" applyProtection="1"/>
    <xf numFmtId="164" fontId="0" fillId="0" borderId="0" xfId="0" applyNumberFormat="1" applyFill="1" applyProtection="1"/>
    <xf numFmtId="164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0" fontId="0" fillId="2" borderId="0" xfId="0" applyFill="1" applyAlignment="1" applyProtection="1">
      <alignment vertical="center"/>
    </xf>
    <xf numFmtId="0" fontId="0" fillId="2" borderId="0" xfId="0" applyFill="1" applyProtection="1"/>
    <xf numFmtId="0" fontId="3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17" fontId="4" fillId="3" borderId="0" xfId="0" quotePrefix="1" applyNumberFormat="1" applyFont="1" applyFill="1" applyAlignment="1" applyProtection="1">
      <alignment horizontal="right" vertical="center"/>
    </xf>
    <xf numFmtId="0" fontId="4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0" fillId="7" borderId="0" xfId="0" applyFill="1" applyProtection="1"/>
    <xf numFmtId="0" fontId="13" fillId="2" borderId="0" xfId="0" applyFont="1" applyFill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3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17" fontId="4" fillId="7" borderId="0" xfId="0" quotePrefix="1" applyNumberFormat="1" applyFont="1" applyFill="1" applyAlignment="1" applyProtection="1">
      <alignment horizontal="right" vertical="center"/>
    </xf>
    <xf numFmtId="0" fontId="4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vertical="center"/>
    </xf>
    <xf numFmtId="0" fontId="0" fillId="2" borderId="1" xfId="0" applyFill="1" applyBorder="1" applyProtection="1"/>
    <xf numFmtId="0" fontId="0" fillId="2" borderId="0" xfId="0" applyFill="1" applyBorder="1" applyProtection="1"/>
    <xf numFmtId="0" fontId="2" fillId="0" borderId="0" xfId="0" applyFont="1" applyProtection="1"/>
    <xf numFmtId="0" fontId="0" fillId="0" borderId="0" xfId="0" applyFill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0" fillId="0" borderId="0" xfId="0" applyFill="1" applyBorder="1" applyProtection="1"/>
    <xf numFmtId="0" fontId="0" fillId="0" borderId="2" xfId="0" applyBorder="1" applyProtection="1"/>
    <xf numFmtId="1" fontId="0" fillId="0" borderId="0" xfId="0" applyNumberFormat="1" applyFont="1" applyFill="1" applyBorder="1" applyProtection="1"/>
    <xf numFmtId="165" fontId="0" fillId="0" borderId="0" xfId="0" applyNumberFormat="1" applyProtection="1"/>
    <xf numFmtId="2" fontId="0" fillId="0" borderId="0" xfId="0" applyNumberFormat="1" applyProtection="1"/>
    <xf numFmtId="0" fontId="1" fillId="0" borderId="0" xfId="0" applyFont="1" applyProtection="1"/>
    <xf numFmtId="0" fontId="0" fillId="0" borderId="0" xfId="0" applyNumberFormat="1" applyFont="1" applyFill="1" applyBorder="1" applyProtection="1"/>
    <xf numFmtId="2" fontId="0" fillId="0" borderId="0" xfId="0" applyNumberFormat="1" applyBorder="1" applyProtection="1"/>
    <xf numFmtId="0" fontId="1" fillId="0" borderId="0" xfId="0" applyFont="1" applyFill="1" applyBorder="1" applyProtection="1"/>
    <xf numFmtId="0" fontId="0" fillId="0" borderId="9" xfId="0" applyBorder="1" applyAlignment="1" applyProtection="1">
      <alignment horizontal="right"/>
    </xf>
    <xf numFmtId="0" fontId="0" fillId="0" borderId="12" xfId="0" applyBorder="1" applyProtection="1"/>
    <xf numFmtId="0" fontId="0" fillId="0" borderId="14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0" fillId="0" borderId="8" xfId="0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11" xfId="0" applyBorder="1" applyAlignment="1" applyProtection="1">
      <alignment horizontal="right"/>
    </xf>
    <xf numFmtId="0" fontId="0" fillId="0" borderId="7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0" fillId="4" borderId="0" xfId="0" applyFill="1" applyAlignment="1" applyProtection="1">
      <alignment horizontal="center" vertical="center" textRotation="90" wrapText="1"/>
    </xf>
    <xf numFmtId="0" fontId="0" fillId="4" borderId="0" xfId="0" applyFill="1" applyAlignment="1" applyProtection="1">
      <alignment horizontal="center" vertical="center" textRotation="90"/>
    </xf>
    <xf numFmtId="0" fontId="14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164" fontId="16" fillId="6" borderId="0" xfId="0" applyNumberFormat="1" applyFont="1" applyFill="1" applyAlignment="1" applyProtection="1">
      <alignment horizontal="center" vertical="center"/>
    </xf>
    <xf numFmtId="2" fontId="17" fillId="6" borderId="0" xfId="0" applyNumberFormat="1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R90"/>
  <sheetViews>
    <sheetView tabSelected="1" workbookViewId="0">
      <selection activeCell="K23" sqref="K23"/>
    </sheetView>
  </sheetViews>
  <sheetFormatPr defaultRowHeight="15"/>
  <cols>
    <col min="1" max="1" width="9.140625" style="5"/>
    <col min="2" max="2" width="30" style="5" bestFit="1" customWidth="1"/>
    <col min="3" max="5" width="12" style="5" bestFit="1" customWidth="1"/>
    <col min="6" max="9" width="9.140625" style="5"/>
    <col min="10" max="10" width="22.7109375" style="5" customWidth="1"/>
    <col min="11" max="11" width="10.140625" style="5" customWidth="1"/>
    <col min="12" max="12" width="12" style="5" bestFit="1" customWidth="1"/>
    <col min="13" max="13" width="9.140625" style="5"/>
    <col min="14" max="14" width="12" style="5" bestFit="1" customWidth="1"/>
    <col min="15" max="16384" width="9.140625" style="5"/>
  </cols>
  <sheetData>
    <row r="1" spans="2:18" s="10" customFormat="1"/>
    <row r="2" spans="2:18" s="9" customFormat="1" ht="23.25">
      <c r="B2" s="11" t="s">
        <v>77</v>
      </c>
      <c r="C2" s="12"/>
      <c r="D2" s="12"/>
      <c r="E2" s="12"/>
      <c r="F2" s="13"/>
      <c r="G2" s="12"/>
      <c r="H2" s="12"/>
      <c r="I2" s="12"/>
      <c r="J2" s="12"/>
      <c r="K2" s="12"/>
      <c r="L2" s="14"/>
      <c r="M2" s="12" t="s">
        <v>82</v>
      </c>
      <c r="N2" s="12"/>
      <c r="O2" s="15" t="s">
        <v>17</v>
      </c>
      <c r="P2" s="12"/>
      <c r="Q2" s="16"/>
      <c r="R2" s="12"/>
    </row>
    <row r="3" spans="2:18" s="10" customFormat="1"/>
    <row r="4" spans="2:18" s="9" customFormat="1"/>
    <row r="5" spans="2:18" s="9" customFormat="1" ht="18.75">
      <c r="B5" s="57" t="s">
        <v>78</v>
      </c>
      <c r="D5" s="17" t="s">
        <v>79</v>
      </c>
      <c r="E5" s="18"/>
      <c r="F5" s="18"/>
      <c r="G5" s="18"/>
      <c r="H5" s="18"/>
      <c r="I5" s="17" t="s">
        <v>80</v>
      </c>
    </row>
    <row r="6" spans="2:18" s="9" customFormat="1" ht="15.75">
      <c r="B6" s="58"/>
      <c r="L6" s="19" t="s">
        <v>18</v>
      </c>
    </row>
    <row r="7" spans="2:18" s="9" customFormat="1" ht="15.75">
      <c r="B7" s="58"/>
      <c r="D7" s="9" t="s">
        <v>19</v>
      </c>
      <c r="F7" s="1">
        <v>2592</v>
      </c>
      <c r="G7" s="9" t="s">
        <v>1</v>
      </c>
      <c r="I7" s="9" t="s">
        <v>20</v>
      </c>
      <c r="K7" s="2">
        <v>2592</v>
      </c>
      <c r="L7" s="3">
        <f>(ROUNDDOWN(K7/16,0)*16/K9)</f>
        <v>2592</v>
      </c>
      <c r="M7" s="9" t="s">
        <v>1</v>
      </c>
      <c r="N7" s="20" t="s">
        <v>51</v>
      </c>
    </row>
    <row r="8" spans="2:18" s="9" customFormat="1" ht="15.75">
      <c r="B8" s="58"/>
      <c r="D8" s="9" t="s">
        <v>21</v>
      </c>
      <c r="F8" s="1">
        <v>2048</v>
      </c>
      <c r="G8" s="9" t="s">
        <v>22</v>
      </c>
      <c r="I8" s="9" t="s">
        <v>23</v>
      </c>
      <c r="K8" s="2">
        <v>2048</v>
      </c>
      <c r="L8" s="3">
        <f>(ROUNDDOWN(K8/2,0)*2/K10)</f>
        <v>2048</v>
      </c>
      <c r="M8" s="9" t="s">
        <v>1</v>
      </c>
      <c r="N8" s="20" t="s">
        <v>52</v>
      </c>
    </row>
    <row r="9" spans="2:18" s="9" customFormat="1" ht="15.75">
      <c r="B9" s="58"/>
      <c r="I9" s="9" t="s">
        <v>58</v>
      </c>
      <c r="K9" s="2">
        <v>1</v>
      </c>
    </row>
    <row r="10" spans="2:18" s="9" customFormat="1" ht="15.75">
      <c r="B10" s="58"/>
      <c r="I10" s="9" t="s">
        <v>59</v>
      </c>
      <c r="K10" s="2">
        <v>1</v>
      </c>
    </row>
    <row r="11" spans="2:18" s="9" customFormat="1">
      <c r="B11" s="58"/>
      <c r="N11" s="20"/>
    </row>
    <row r="12" spans="2:18" s="9" customFormat="1">
      <c r="B12" s="58"/>
    </row>
    <row r="13" spans="2:18" s="9" customFormat="1" ht="15" customHeight="1"/>
    <row r="14" spans="2:18" s="10" customForma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2:18" s="9" customFormat="1"/>
    <row r="16" spans="2:18" s="9" customFormat="1" ht="18.75">
      <c r="B16" s="58" t="s">
        <v>24</v>
      </c>
      <c r="D16" s="4" t="s">
        <v>29</v>
      </c>
      <c r="G16" s="4"/>
    </row>
    <row r="17" spans="2:18" s="9" customFormat="1" ht="15.75">
      <c r="B17" s="58"/>
      <c r="D17" s="9" t="s">
        <v>31</v>
      </c>
      <c r="G17" s="2">
        <v>8</v>
      </c>
      <c r="H17" s="9" t="s">
        <v>34</v>
      </c>
    </row>
    <row r="18" spans="2:18" s="9" customFormat="1" ht="15.75">
      <c r="B18" s="58"/>
      <c r="D18" s="9" t="s">
        <v>32</v>
      </c>
      <c r="G18" s="2">
        <v>4096</v>
      </c>
      <c r="H18" s="9" t="s">
        <v>30</v>
      </c>
      <c r="K18" s="20" t="s">
        <v>83</v>
      </c>
    </row>
    <row r="19" spans="2:18" s="9" customFormat="1" ht="15.75">
      <c r="B19" s="58"/>
      <c r="D19" s="9" t="s">
        <v>33</v>
      </c>
      <c r="G19" s="2">
        <v>1</v>
      </c>
    </row>
    <row r="20" spans="2:18" s="9" customFormat="1" ht="15.75">
      <c r="B20" s="58"/>
      <c r="D20" s="9" t="s">
        <v>8</v>
      </c>
      <c r="G20" s="2">
        <v>6.25</v>
      </c>
      <c r="H20" s="9" t="s">
        <v>9</v>
      </c>
      <c r="O20" s="22"/>
    </row>
    <row r="21" spans="2:18" s="9" customFormat="1" ht="15.75">
      <c r="B21" s="58"/>
      <c r="D21" s="9" t="s">
        <v>38</v>
      </c>
      <c r="G21" s="2">
        <v>100</v>
      </c>
      <c r="H21" s="9" t="s">
        <v>12</v>
      </c>
      <c r="K21" s="20" t="s">
        <v>39</v>
      </c>
    </row>
    <row r="22" spans="2:18" s="9" customFormat="1"/>
    <row r="23" spans="2:18" s="10" customFormat="1" ht="15" customHeight="1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2:18" s="9" customFormat="1"/>
    <row r="25" spans="2:18" s="9" customFormat="1" ht="28.5">
      <c r="B25" s="58" t="s">
        <v>25</v>
      </c>
      <c r="D25" s="59" t="s">
        <v>26</v>
      </c>
      <c r="E25" s="59"/>
      <c r="F25" s="18"/>
      <c r="G25" s="18"/>
      <c r="H25" s="18"/>
      <c r="I25" s="17"/>
    </row>
    <row r="26" spans="2:18" s="9" customFormat="1">
      <c r="B26" s="58"/>
      <c r="G26" s="60" t="s">
        <v>27</v>
      </c>
      <c r="H26" s="60"/>
    </row>
    <row r="27" spans="2:18" s="9" customFormat="1">
      <c r="B27" s="58"/>
      <c r="D27" s="61">
        <f>IF(OR(K9&gt;1,K10&gt;1),D89,C89)</f>
        <v>105.55261766261238</v>
      </c>
      <c r="E27" s="61"/>
      <c r="G27" s="60"/>
      <c r="H27" s="60"/>
    </row>
    <row r="28" spans="2:18" s="9" customFormat="1">
      <c r="B28" s="58"/>
      <c r="D28" s="61"/>
      <c r="E28" s="61"/>
      <c r="G28" s="62">
        <f>L7*L8/(1024*1024)</f>
        <v>5.0625</v>
      </c>
      <c r="H28" s="62"/>
    </row>
    <row r="29" spans="2:18" s="9" customFormat="1">
      <c r="B29" s="58"/>
      <c r="D29" s="61"/>
      <c r="E29" s="61"/>
      <c r="F29" s="63" t="s">
        <v>28</v>
      </c>
      <c r="G29" s="62"/>
      <c r="H29" s="62"/>
    </row>
    <row r="30" spans="2:18" s="9" customFormat="1">
      <c r="B30" s="58"/>
      <c r="D30" s="61"/>
      <c r="E30" s="61"/>
      <c r="F30" s="63"/>
      <c r="G30" s="62"/>
      <c r="H30" s="62"/>
      <c r="Q30" s="23"/>
    </row>
    <row r="31" spans="2:18" s="9" customFormat="1">
      <c r="B31" s="58"/>
      <c r="D31" s="61"/>
      <c r="E31" s="61"/>
      <c r="G31" s="62"/>
      <c r="H31" s="62"/>
    </row>
    <row r="32" spans="2:18" s="9" customFormat="1">
      <c r="B32" s="58"/>
      <c r="D32" s="61"/>
      <c r="E32" s="61"/>
    </row>
    <row r="33" spans="2:18" s="9" customFormat="1">
      <c r="B33" s="58"/>
    </row>
    <row r="34" spans="2:18" s="9" customFormat="1"/>
    <row r="35" spans="2:18" s="10" customFormat="1"/>
    <row r="36" spans="2:18" s="9" customFormat="1" ht="15" customHeight="1">
      <c r="B36" s="24"/>
      <c r="C36" s="25"/>
      <c r="D36" s="25"/>
      <c r="E36" s="25"/>
      <c r="F36" s="26"/>
      <c r="G36" s="25"/>
      <c r="H36" s="25"/>
      <c r="I36" s="25"/>
      <c r="J36" s="25"/>
      <c r="K36" s="25"/>
      <c r="L36" s="27"/>
      <c r="M36" s="25"/>
      <c r="N36" s="25"/>
      <c r="O36" s="28"/>
      <c r="P36" s="25"/>
      <c r="Q36" s="29"/>
      <c r="R36" s="25"/>
    </row>
    <row r="37" spans="2:18" s="9" customFormat="1"/>
    <row r="38" spans="2:18" s="9" customFormat="1"/>
    <row r="39" spans="2:18" s="9" customFormat="1"/>
    <row r="40" spans="2:18" s="9" customFormat="1"/>
    <row r="41" spans="2:18" s="9" customFormat="1"/>
    <row r="42" spans="2:18" s="9" customFormat="1"/>
    <row r="43" spans="2:18" s="9" customFormat="1"/>
    <row r="44" spans="2:18" s="9" customFormat="1"/>
    <row r="45" spans="2:18" s="9" customFormat="1"/>
    <row r="46" spans="2:18" s="9" customFormat="1"/>
    <row r="47" spans="2:18" s="9" customFormat="1"/>
    <row r="48" spans="2:18" s="9" customFormat="1"/>
    <row r="49" spans="2:16" s="9" customFormat="1"/>
    <row r="50" spans="2:16" s="9" customFormat="1"/>
    <row r="51" spans="2:16" s="9" customFormat="1"/>
    <row r="52" spans="2:16" s="9" customFormat="1"/>
    <row r="53" spans="2:16" s="9" customFormat="1"/>
    <row r="54" spans="2:16" s="9" customFormat="1"/>
    <row r="55" spans="2:16" s="9" customFormat="1"/>
    <row r="56" spans="2:16" s="9" customFormat="1"/>
    <row r="57" spans="2:16" s="30" customFormat="1"/>
    <row r="58" spans="2:16" s="31" customFormat="1"/>
    <row r="59" spans="2:16" hidden="1"/>
    <row r="60" spans="2:16" hidden="1">
      <c r="B60" s="5" t="s">
        <v>0</v>
      </c>
      <c r="C60" s="5">
        <f>L7*K9</f>
        <v>2592</v>
      </c>
      <c r="D60" s="5" t="s">
        <v>1</v>
      </c>
      <c r="E60" s="32" t="s">
        <v>16</v>
      </c>
      <c r="L60" s="5" t="s">
        <v>35</v>
      </c>
      <c r="M60" s="5" t="s">
        <v>36</v>
      </c>
      <c r="N60" s="5" t="s">
        <v>37</v>
      </c>
      <c r="O60" s="5" t="s">
        <v>48</v>
      </c>
      <c r="P60" s="5" t="s">
        <v>55</v>
      </c>
    </row>
    <row r="61" spans="2:16" hidden="1">
      <c r="B61" s="5" t="s">
        <v>2</v>
      </c>
      <c r="C61" s="5">
        <f>L8*K10</f>
        <v>2048</v>
      </c>
      <c r="D61" s="5" t="s">
        <v>1</v>
      </c>
      <c r="E61" s="32" t="s">
        <v>15</v>
      </c>
      <c r="L61" s="5">
        <v>8</v>
      </c>
      <c r="M61" s="5">
        <v>1</v>
      </c>
      <c r="N61" s="5">
        <v>3.125</v>
      </c>
      <c r="O61" s="5" t="s">
        <v>49</v>
      </c>
      <c r="P61" s="5">
        <v>1</v>
      </c>
    </row>
    <row r="62" spans="2:16" hidden="1">
      <c r="E62" s="32"/>
      <c r="L62" s="5">
        <v>10</v>
      </c>
      <c r="N62" s="5">
        <v>5</v>
      </c>
      <c r="P62" s="5">
        <v>2</v>
      </c>
    </row>
    <row r="63" spans="2:16" hidden="1">
      <c r="B63" s="5" t="s">
        <v>4</v>
      </c>
      <c r="C63" s="5">
        <f>G17</f>
        <v>8</v>
      </c>
      <c r="D63" s="5" t="s">
        <v>3</v>
      </c>
      <c r="E63" s="32" t="s">
        <v>14</v>
      </c>
      <c r="N63" s="5">
        <v>6.25</v>
      </c>
      <c r="P63" s="5">
        <v>4</v>
      </c>
    </row>
    <row r="64" spans="2:16" hidden="1">
      <c r="B64" s="5" t="s">
        <v>5</v>
      </c>
      <c r="C64" s="5">
        <f>IF(G18&gt;4096,4096,G18)</f>
        <v>4096</v>
      </c>
    </row>
    <row r="65" spans="2:18" hidden="1">
      <c r="B65" s="5" t="s">
        <v>6</v>
      </c>
      <c r="C65" s="5">
        <f>G19</f>
        <v>1</v>
      </c>
      <c r="E65" s="32" t="s">
        <v>7</v>
      </c>
    </row>
    <row r="66" spans="2:18" hidden="1">
      <c r="B66" s="5" t="s">
        <v>8</v>
      </c>
      <c r="C66" s="5">
        <f>G20</f>
        <v>6.25</v>
      </c>
      <c r="D66" s="5" t="s">
        <v>9</v>
      </c>
      <c r="E66" s="32" t="s">
        <v>10</v>
      </c>
    </row>
    <row r="67" spans="2:18" hidden="1">
      <c r="B67" s="5" t="s">
        <v>11</v>
      </c>
      <c r="C67">
        <f>G21</f>
        <v>100</v>
      </c>
      <c r="D67" s="5" t="s">
        <v>12</v>
      </c>
      <c r="E67" s="32" t="s">
        <v>13</v>
      </c>
    </row>
    <row r="68" spans="2:18" hidden="1">
      <c r="B68" s="33"/>
      <c r="C68" s="6"/>
      <c r="D68" s="33"/>
    </row>
    <row r="69" spans="2:18" ht="15.75" hidden="1" thickBot="1">
      <c r="B69" s="37" t="s">
        <v>56</v>
      </c>
      <c r="C69" s="39">
        <f>IF(K9&gt;1,2,1)</f>
        <v>1</v>
      </c>
      <c r="D69" s="8">
        <f>C60/C69</f>
        <v>2592</v>
      </c>
    </row>
    <row r="70" spans="2:18" hidden="1">
      <c r="B70" s="37" t="s">
        <v>57</v>
      </c>
      <c r="C70" s="43">
        <f>IF(K10&gt;1,2,1)</f>
        <v>1</v>
      </c>
      <c r="D70" s="8">
        <f>C61/C70</f>
        <v>2048</v>
      </c>
      <c r="I70" s="34" t="s">
        <v>40</v>
      </c>
      <c r="J70" s="35"/>
      <c r="K70" s="35" t="s">
        <v>41</v>
      </c>
      <c r="L70" s="35" t="s">
        <v>42</v>
      </c>
      <c r="M70" s="35" t="s">
        <v>43</v>
      </c>
      <c r="N70" s="35" t="s">
        <v>44</v>
      </c>
      <c r="O70" s="35" t="s">
        <v>45</v>
      </c>
      <c r="P70" s="35" t="s">
        <v>46</v>
      </c>
      <c r="Q70" s="35"/>
      <c r="R70" s="36"/>
    </row>
    <row r="71" spans="2:18" hidden="1">
      <c r="B71" s="37" t="s">
        <v>61</v>
      </c>
      <c r="C71" s="39">
        <f>IF(K9=4,2,1)</f>
        <v>1</v>
      </c>
      <c r="D71" s="5">
        <f>D69/C71</f>
        <v>2592</v>
      </c>
      <c r="I71" s="53" t="s">
        <v>47</v>
      </c>
      <c r="J71" s="54"/>
      <c r="K71" s="38" t="s">
        <v>53</v>
      </c>
      <c r="L71" s="38">
        <v>78</v>
      </c>
      <c r="M71" s="38">
        <v>5</v>
      </c>
      <c r="N71" s="38">
        <v>7</v>
      </c>
      <c r="O71" s="38">
        <v>58</v>
      </c>
      <c r="P71" s="49">
        <v>40</v>
      </c>
      <c r="Q71" s="50"/>
      <c r="R71" s="46">
        <f>O71*C77</f>
        <v>4176</v>
      </c>
    </row>
    <row r="72" spans="2:18" ht="15.75" hidden="1" thickBot="1">
      <c r="B72" s="37" t="s">
        <v>62</v>
      </c>
      <c r="C72" s="39">
        <f>IF(K10=4,2,1)</f>
        <v>1</v>
      </c>
      <c r="D72" s="5">
        <f>D70/C72</f>
        <v>2048</v>
      </c>
      <c r="I72" s="55" t="s">
        <v>47</v>
      </c>
      <c r="J72" s="56"/>
      <c r="K72" s="47" t="s">
        <v>54</v>
      </c>
      <c r="L72" s="47">
        <v>78</v>
      </c>
      <c r="M72" s="47">
        <v>5</v>
      </c>
      <c r="N72" s="47">
        <v>7</v>
      </c>
      <c r="O72" s="47">
        <v>58</v>
      </c>
      <c r="P72" s="51">
        <v>40</v>
      </c>
      <c r="Q72" s="52"/>
      <c r="R72" s="48">
        <f>O72*C77</f>
        <v>4176</v>
      </c>
    </row>
    <row r="73" spans="2:18" hidden="1"/>
    <row r="74" spans="2:18" hidden="1">
      <c r="C74" s="42" t="s">
        <v>73</v>
      </c>
      <c r="D74" s="45" t="s">
        <v>55</v>
      </c>
      <c r="E74" s="8"/>
    </row>
    <row r="75" spans="2:18" hidden="1">
      <c r="B75" s="37" t="s">
        <v>50</v>
      </c>
      <c r="C75" s="8">
        <v>8</v>
      </c>
      <c r="J75" s="37"/>
      <c r="K75" s="7"/>
    </row>
    <row r="76" spans="2:18" hidden="1">
      <c r="I76" s="9" t="s">
        <v>81</v>
      </c>
      <c r="J76" s="9"/>
      <c r="K76" s="9" t="s">
        <v>60</v>
      </c>
      <c r="L76" s="42"/>
    </row>
    <row r="77" spans="2:18" hidden="1">
      <c r="B77" s="37" t="s">
        <v>70</v>
      </c>
      <c r="C77" s="5">
        <v>72</v>
      </c>
    </row>
    <row r="78" spans="2:18" hidden="1">
      <c r="B78" s="37" t="s">
        <v>71</v>
      </c>
      <c r="C78" s="5">
        <v>7</v>
      </c>
      <c r="L78" s="40"/>
      <c r="M78" s="40"/>
    </row>
    <row r="79" spans="2:18" hidden="1">
      <c r="B79" s="5" t="s">
        <v>68</v>
      </c>
      <c r="C79" s="5">
        <v>16</v>
      </c>
    </row>
    <row r="80" spans="2:18" hidden="1">
      <c r="B80" s="5" t="s">
        <v>63</v>
      </c>
      <c r="C80" s="5">
        <f>C60/C79</f>
        <v>162</v>
      </c>
      <c r="D80" s="5">
        <f>D69/C79</f>
        <v>162</v>
      </c>
    </row>
    <row r="81" spans="2:13" hidden="1">
      <c r="B81" s="5" t="s">
        <v>64</v>
      </c>
      <c r="C81" s="5">
        <f>2*C80+4</f>
        <v>328</v>
      </c>
      <c r="D81" s="5">
        <f>(2*D80)+6</f>
        <v>330</v>
      </c>
    </row>
    <row r="82" spans="2:13" hidden="1">
      <c r="B82" s="5" t="s">
        <v>65</v>
      </c>
      <c r="C82" s="5">
        <f>MAX(L71+2,C81)</f>
        <v>328</v>
      </c>
      <c r="D82" s="5">
        <f>D81+L72</f>
        <v>408</v>
      </c>
    </row>
    <row r="83" spans="2:13" hidden="1">
      <c r="B83" s="37" t="s">
        <v>74</v>
      </c>
      <c r="C83" s="5">
        <f>CEILING($C$60*(100/$C$67)*(1/0.98)*$C$63*(10/8)*($C$64/($C$64-32))*(1/($C$66*1000000000*$C$65))*C77*1000000,1)</f>
        <v>308</v>
      </c>
      <c r="D83" s="5">
        <f>CEILING($D$71*(100/$C$67)*(1/0.98)*$C$63*(10/8)*($C$64/($C$64-32))*(1/($C$66*1000000000*$C$65))*C77*1000000,1)</f>
        <v>308</v>
      </c>
      <c r="L83" s="41"/>
      <c r="M83" s="41"/>
    </row>
    <row r="84" spans="2:13" hidden="1">
      <c r="B84" s="37" t="s">
        <v>76</v>
      </c>
      <c r="D84" s="33">
        <f>IF(D83-D82&gt;0,IF(C70&gt;1,(D83-D82)/2,D83-D82),0)</f>
        <v>0</v>
      </c>
      <c r="L84" s="41"/>
      <c r="M84" s="41"/>
    </row>
    <row r="85" spans="2:13" hidden="1">
      <c r="B85" s="5" t="s">
        <v>66</v>
      </c>
      <c r="C85" s="5">
        <f>MAX(C83,MAX(C82,C81))</f>
        <v>328</v>
      </c>
      <c r="D85" s="5">
        <f>D84*C70+D81+L72*C70</f>
        <v>408</v>
      </c>
      <c r="M85" s="44"/>
    </row>
    <row r="86" spans="2:13" hidden="1">
      <c r="B86" s="5" t="s">
        <v>67</v>
      </c>
      <c r="C86" s="5">
        <f>(2*(F7/C79))+6</f>
        <v>330</v>
      </c>
      <c r="D86" s="5">
        <f>(2*(F7/C79))+6</f>
        <v>330</v>
      </c>
    </row>
    <row r="87" spans="2:13" hidden="1">
      <c r="B87" s="5" t="s">
        <v>69</v>
      </c>
      <c r="C87" s="5">
        <f>CEILING((((M71+1+N71)*C86)+(C61*C85)+R71)/C77,1)+C78</f>
        <v>9455</v>
      </c>
      <c r="D87" s="5">
        <f>CEILING((((M72+N72)*D86)+(D70*D85)+R72)/C77,1)+C78</f>
        <v>11726</v>
      </c>
    </row>
    <row r="88" spans="2:13" hidden="1">
      <c r="B88" s="5" t="s">
        <v>72</v>
      </c>
      <c r="C88" s="5">
        <f>1/(C87/1000000)</f>
        <v>105.76414595452142</v>
      </c>
      <c r="D88" s="5">
        <f>1/(D87/1000000)</f>
        <v>85.280573085451138</v>
      </c>
    </row>
    <row r="89" spans="2:13" hidden="1">
      <c r="B89" s="5" t="s">
        <v>75</v>
      </c>
      <c r="C89" s="5">
        <f>C88*0.998</f>
        <v>105.55261766261238</v>
      </c>
      <c r="D89" s="5">
        <f>D88*0.998</f>
        <v>85.110011939280241</v>
      </c>
    </row>
    <row r="90" spans="2:13" hidden="1"/>
  </sheetData>
  <sheetProtection password="DC0F" sheet="1" objects="1" scenarios="1"/>
  <mergeCells count="12">
    <mergeCell ref="P71:Q71"/>
    <mergeCell ref="P72:Q72"/>
    <mergeCell ref="I71:J71"/>
    <mergeCell ref="I72:J72"/>
    <mergeCell ref="B5:B12"/>
    <mergeCell ref="B16:B21"/>
    <mergeCell ref="B25:B33"/>
    <mergeCell ref="D25:E25"/>
    <mergeCell ref="G26:H27"/>
    <mergeCell ref="D27:E32"/>
    <mergeCell ref="G28:H31"/>
    <mergeCell ref="F29:F30"/>
  </mergeCells>
  <conditionalFormatting sqref="K7">
    <cfRule type="cellIs" dxfId="5" priority="13" operator="greaterThan">
      <formula>$F$7</formula>
    </cfRule>
    <cfRule type="cellIs" dxfId="4" priority="14" operator="greaterThan">
      <formula>$F$7</formula>
    </cfRule>
  </conditionalFormatting>
  <conditionalFormatting sqref="K8:K10">
    <cfRule type="cellIs" dxfId="3" priority="11" operator="greaterThan">
      <formula>$F$8</formula>
    </cfRule>
    <cfRule type="cellIs" dxfId="2" priority="12" operator="greaterThan">
      <formula>$F$8</formula>
    </cfRule>
  </conditionalFormatting>
  <conditionalFormatting sqref="K10">
    <cfRule type="cellIs" dxfId="1" priority="9" operator="lessThan">
      <formula>0</formula>
    </cfRule>
    <cfRule type="cellIs" dxfId="0" priority="10" operator="greaterThan">
      <formula>$F$7</formula>
    </cfRule>
  </conditionalFormatting>
  <dataValidations count="7">
    <dataValidation type="whole" allowBlank="1" showInputMessage="1" showErrorMessage="1" sqref="K8">
      <formula1>2</formula1>
      <formula2>F8</formula2>
    </dataValidation>
    <dataValidation type="whole" allowBlank="1" showInputMessage="1" showErrorMessage="1" sqref="K7">
      <formula1>16</formula1>
      <formula2>F7</formula2>
    </dataValidation>
    <dataValidation type="list" allowBlank="1" showInputMessage="1" showErrorMessage="1" sqref="G20">
      <formula1>$N$61:$N$63</formula1>
    </dataValidation>
    <dataValidation type="list" allowBlank="1" showInputMessage="1" showErrorMessage="1" sqref="G17">
      <formula1>$L$61:$L$62</formula1>
    </dataValidation>
    <dataValidation type="list" allowBlank="1" showInputMessage="1" showErrorMessage="1" sqref="G19">
      <formula1>$M$61</formula1>
    </dataValidation>
    <dataValidation type="whole" allowBlank="1" showInputMessage="1" showErrorMessage="1" sqref="G21">
      <formula1>50</formula1>
      <formula2>100</formula2>
    </dataValidation>
    <dataValidation type="list" allowBlank="1" showInputMessage="1" showErrorMessage="1" sqref="K9:K10">
      <formula1>$P$61:$P$63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Adimec Advanced Image Systems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bkoene</cp:lastModifiedBy>
  <dcterms:created xsi:type="dcterms:W3CDTF">2014-12-17T11:39:23Z</dcterms:created>
  <dcterms:modified xsi:type="dcterms:W3CDTF">2017-07-14T09:03:49Z</dcterms:modified>
</cp:coreProperties>
</file>