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1560" yWindow="0" windowWidth="20730" windowHeight="11760" activeTab="1"/>
  </bookViews>
  <sheets>
    <sheet name="Q4A180_Q2A340 CL" sheetId="1" r:id="rId1"/>
    <sheet name="Q4A180_Q2A340 CXP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8" i="2"/>
  <c r="D197"/>
  <c r="D200"/>
  <c r="L7"/>
  <c r="D193" s="1"/>
  <c r="F8"/>
  <c r="L8" s="1"/>
  <c r="D194" s="1"/>
  <c r="D196" s="1"/>
  <c r="I195"/>
  <c r="D191"/>
  <c r="F8" i="1"/>
  <c r="L8"/>
  <c r="D200"/>
  <c r="D202"/>
  <c r="I201"/>
  <c r="D197" s="1"/>
  <c r="D203"/>
  <c r="L7"/>
  <c r="D199"/>
  <c r="D205"/>
  <c r="D204"/>
  <c r="D206"/>
  <c r="I207" s="1"/>
  <c r="I213"/>
  <c r="I214" s="1"/>
  <c r="J31"/>
  <c r="I205"/>
  <c r="C212"/>
  <c r="D202" i="2" l="1"/>
  <c r="E31" s="1"/>
  <c r="E30" s="1"/>
  <c r="I201" s="1"/>
  <c r="D199"/>
  <c r="D207" i="1"/>
  <c r="E31" s="1"/>
  <c r="E30" s="1"/>
  <c r="I206" s="1"/>
  <c r="I208" s="1"/>
  <c r="D201" i="2"/>
  <c r="J31"/>
  <c r="I208"/>
  <c r="I209" s="1"/>
  <c r="I200"/>
  <c r="C207"/>
  <c r="O30" l="1"/>
  <c r="K208" i="1"/>
  <c r="I216" s="1"/>
  <c r="O30"/>
  <c r="I209"/>
  <c r="J29" s="1"/>
  <c r="I210"/>
  <c r="J30" s="1"/>
  <c r="I202" i="2"/>
  <c r="I203" s="1"/>
  <c r="K209" i="1" l="1"/>
  <c r="K203" i="2"/>
  <c r="K204" s="1"/>
  <c r="I204"/>
  <c r="J29" s="1"/>
  <c r="I205" l="1"/>
  <c r="J30" s="1"/>
  <c r="I211"/>
</calcChain>
</file>

<file path=xl/sharedStrings.xml><?xml version="1.0" encoding="utf-8"?>
<sst xmlns="http://schemas.openxmlformats.org/spreadsheetml/2006/main" count="279" uniqueCount="128">
  <si>
    <t>IF_clk:</t>
  </si>
  <si>
    <t>MHz</t>
  </si>
  <si>
    <t>ROI width:</t>
  </si>
  <si>
    <t>ROI height:</t>
  </si>
  <si>
    <t>pixels</t>
  </si>
  <si>
    <t>sensor channels:</t>
  </si>
  <si>
    <t>LVAL gap</t>
  </si>
  <si>
    <t>clocks</t>
  </si>
  <si>
    <t>Maximum interface freq:</t>
  </si>
  <si>
    <t>Number of taps:</t>
  </si>
  <si>
    <t>tap</t>
  </si>
  <si>
    <t>Hz</t>
  </si>
  <si>
    <t>Sensor width:</t>
  </si>
  <si>
    <t>Sensor pixel clock:</t>
  </si>
  <si>
    <t>FOT_cnt</t>
  </si>
  <si>
    <t>slot_length</t>
  </si>
  <si>
    <t>clk_per</t>
  </si>
  <si>
    <t>us</t>
  </si>
  <si>
    <t>bitdepth</t>
  </si>
  <si>
    <t>FOT length</t>
  </si>
  <si>
    <t>sensorclock</t>
  </si>
  <si>
    <t>ns</t>
  </si>
  <si>
    <t>*</t>
  </si>
  <si>
    <t>* possibility to adjust data</t>
  </si>
  <si>
    <t>**</t>
  </si>
  <si>
    <t>** green marked cell is speed bottleneck</t>
  </si>
  <si>
    <t>Sensor readout time:</t>
  </si>
  <si>
    <t>Approximate Calculations</t>
  </si>
  <si>
    <t>Input Field Of View</t>
  </si>
  <si>
    <t>Native</t>
  </si>
  <si>
    <t>ROI selector</t>
  </si>
  <si>
    <t>effective</t>
  </si>
  <si>
    <t># columns</t>
  </si>
  <si>
    <t># column width</t>
  </si>
  <si>
    <t># row</t>
  </si>
  <si>
    <t>pixel</t>
  </si>
  <si>
    <t># row height</t>
  </si>
  <si>
    <t>MPX</t>
  </si>
  <si>
    <t>centered</t>
  </si>
  <si>
    <t>Interface Config</t>
  </si>
  <si>
    <t>Camera Link Interface</t>
  </si>
  <si>
    <t># Clock</t>
  </si>
  <si>
    <t>Mhz</t>
  </si>
  <si>
    <t># nr. Taps</t>
  </si>
  <si>
    <t># LVAL</t>
  </si>
  <si>
    <t>version 0.1</t>
  </si>
  <si>
    <t>initial setup based on R&amp;D calculation sheet</t>
  </si>
  <si>
    <t>Choices ROI centering</t>
  </si>
  <si>
    <t>CL MHz options</t>
  </si>
  <si>
    <t>CL Taps</t>
  </si>
  <si>
    <t>any</t>
  </si>
  <si>
    <t>fps</t>
  </si>
  <si>
    <t>buffered pipeline architecture</t>
  </si>
  <si>
    <t>image</t>
  </si>
  <si>
    <t>max_out</t>
  </si>
  <si>
    <t>images</t>
  </si>
  <si>
    <t>buff fill</t>
  </si>
  <si>
    <t>pixels/sec</t>
  </si>
  <si>
    <t>sec</t>
  </si>
  <si>
    <t>burst_time</t>
  </si>
  <si>
    <t>burst_size</t>
  </si>
  <si>
    <t>Burst mode calculation</t>
  </si>
  <si>
    <t>Megapixel</t>
  </si>
  <si>
    <t>Buffer density</t>
  </si>
  <si>
    <t>Mbit</t>
  </si>
  <si>
    <t>Mem words per line</t>
  </si>
  <si>
    <t>Buffer depth</t>
  </si>
  <si>
    <t>lines/sec</t>
  </si>
  <si>
    <t>copyright Adimec B.V. 2013</t>
  </si>
  <si>
    <t>Notes:</t>
  </si>
  <si>
    <t>(1).</t>
  </si>
  <si>
    <t>History:</t>
  </si>
  <si>
    <t>note (1)</t>
  </si>
  <si>
    <t>&lt;set&gt;</t>
  </si>
  <si>
    <t>In 10tap mode the max line width is restricted to multiples of 80 pixels</t>
  </si>
  <si>
    <t xml:space="preserve"> </t>
  </si>
  <si>
    <t>Helios-3: Q4 with CMV4k sensor</t>
  </si>
  <si>
    <t>s</t>
  </si>
  <si>
    <t>ANJA</t>
  </si>
  <si>
    <t>margin</t>
  </si>
  <si>
    <t>Version 0.2</t>
  </si>
  <si>
    <t>100 us margin added</t>
  </si>
  <si>
    <t>Camera selection</t>
  </si>
  <si>
    <t>Q4A180</t>
  </si>
  <si>
    <t>Q2A340</t>
  </si>
  <si>
    <t>Q4A180 / Q2A340/CL throughput calculator</t>
  </si>
  <si>
    <t>Maximum sensor freq @ 16 channels proc:</t>
  </si>
  <si>
    <t>Chosen aquisition frequency</t>
  </si>
  <si>
    <t>Maximum fps aquisition</t>
  </si>
  <si>
    <t>speed in</t>
  </si>
  <si>
    <t xml:space="preserve">Maximum </t>
  </si>
  <si>
    <t>Set</t>
  </si>
  <si>
    <t>Aquisition speed:</t>
  </si>
  <si>
    <t>Sensor</t>
  </si>
  <si>
    <t>Interface</t>
  </si>
  <si>
    <t>Interface speed:</t>
  </si>
  <si>
    <t>Maximum</t>
  </si>
  <si>
    <t>Maximum speed</t>
  </si>
  <si>
    <t>Camera selection:</t>
  </si>
  <si>
    <t>Resolution</t>
  </si>
  <si>
    <t>seconds</t>
  </si>
  <si>
    <t>Maximum buffer period</t>
  </si>
  <si>
    <t>Version 0.3</t>
  </si>
  <si>
    <t>Variable aquisition speed added</t>
  </si>
  <si>
    <t>Set aquisition speed:</t>
  </si>
  <si>
    <t>buffer</t>
  </si>
  <si>
    <t>Max burst size</t>
  </si>
  <si>
    <t>Version 0.4</t>
  </si>
  <si>
    <t>MADI</t>
  </si>
  <si>
    <t>Addition of CoaXPress</t>
  </si>
  <si>
    <t>CoaXPress interface</t>
  </si>
  <si>
    <t># lane speed</t>
  </si>
  <si>
    <t>Lane options</t>
  </si>
  <si>
    <t>CXP speeds (Gb/s)</t>
  </si>
  <si>
    <t>Gb/s</t>
  </si>
  <si>
    <t>v0.4</t>
  </si>
  <si>
    <t>CXP Gb/s</t>
  </si>
  <si>
    <t>Effective transmission rate</t>
  </si>
  <si>
    <t>%</t>
  </si>
  <si>
    <t>Effective lane usage</t>
  </si>
  <si>
    <t># coax lanes</t>
  </si>
  <si>
    <t>bit/s</t>
  </si>
  <si>
    <t>CXP bitdepth</t>
  </si>
  <si>
    <t>CXP Bitdepth</t>
  </si>
  <si>
    <t># bit depth</t>
  </si>
  <si>
    <t>bit/pixel</t>
  </si>
  <si>
    <t>Version 0.5</t>
  </si>
  <si>
    <t>Update CXP interface speeds (ICD update)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</si>
</sst>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rgb="FFFFFFFF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00FF"/>
      <name val="Calibri"/>
      <scheme val="minor"/>
    </font>
    <font>
      <b/>
      <sz val="16"/>
      <color rgb="FF008000"/>
      <name val="Calibri"/>
      <scheme val="minor"/>
    </font>
    <font>
      <b/>
      <sz val="12"/>
      <color rgb="FF008000"/>
      <name val="Calibri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96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15" fillId="5" borderId="0" xfId="0" applyFont="1" applyFill="1" applyAlignment="1" applyProtection="1">
      <alignment vertical="center"/>
      <protection locked="0"/>
    </xf>
    <xf numFmtId="0" fontId="0" fillId="0" borderId="0" xfId="0" applyProtection="1">
      <protection hidden="1"/>
    </xf>
    <xf numFmtId="0" fontId="21" fillId="0" borderId="0" xfId="0" applyFont="1" applyProtection="1">
      <protection hidden="1"/>
    </xf>
    <xf numFmtId="0" fontId="0" fillId="9" borderId="0" xfId="0" applyFill="1" applyProtection="1">
      <protection hidden="1"/>
    </xf>
    <xf numFmtId="0" fontId="0" fillId="8" borderId="0" xfId="0" applyFill="1" applyAlignment="1" applyProtection="1">
      <alignment horizontal="center"/>
    </xf>
    <xf numFmtId="0" fontId="0" fillId="8" borderId="0" xfId="0" applyFill="1" applyProtection="1"/>
    <xf numFmtId="0" fontId="8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17" fontId="9" fillId="3" borderId="0" xfId="0" applyNumberFormat="1" applyFont="1" applyFill="1" applyAlignment="1" applyProtection="1">
      <alignment horizontal="right" vertical="center"/>
    </xf>
    <xf numFmtId="0" fontId="9" fillId="3" borderId="0" xfId="0" applyFont="1" applyFill="1" applyAlignment="1" applyProtection="1">
      <alignment horizontal="center" vertical="center"/>
    </xf>
    <xf numFmtId="0" fontId="7" fillId="2" borderId="0" xfId="0" applyFont="1" applyFill="1" applyProtection="1"/>
    <xf numFmtId="0" fontId="7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6" fillId="6" borderId="0" xfId="0" applyFont="1" applyFill="1" applyAlignment="1" applyProtection="1">
      <alignment vertical="center"/>
    </xf>
    <xf numFmtId="0" fontId="7" fillId="7" borderId="0" xfId="0" applyFont="1" applyFill="1" applyProtection="1"/>
    <xf numFmtId="0" fontId="8" fillId="7" borderId="0" xfId="0" applyFont="1" applyFill="1" applyAlignment="1" applyProtection="1">
      <alignment vertical="center"/>
    </xf>
    <xf numFmtId="0" fontId="9" fillId="7" borderId="0" xfId="0" applyFont="1" applyFill="1" applyAlignment="1" applyProtection="1">
      <alignment vertical="center"/>
    </xf>
    <xf numFmtId="0" fontId="18" fillId="7" borderId="0" xfId="0" applyFont="1" applyFill="1" applyAlignment="1" applyProtection="1">
      <alignment vertical="center"/>
    </xf>
    <xf numFmtId="17" fontId="9" fillId="7" borderId="0" xfId="0" applyNumberFormat="1" applyFont="1" applyFill="1" applyAlignment="1" applyProtection="1">
      <alignment horizontal="right" vertical="center"/>
    </xf>
    <xf numFmtId="0" fontId="9" fillId="7" borderId="0" xfId="0" applyFont="1" applyFill="1" applyAlignment="1" applyProtection="1">
      <alignment horizontal="center" vertical="center"/>
    </xf>
    <xf numFmtId="0" fontId="10" fillId="7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5" xfId="0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Protection="1">
      <protection hidden="1"/>
    </xf>
    <xf numFmtId="0" fontId="4" fillId="0" borderId="0" xfId="0" applyFont="1" applyProtection="1"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4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8" borderId="0" xfId="0" applyFill="1" applyAlignment="1" applyProtection="1">
      <alignment horizontal="center"/>
      <protection hidden="1"/>
    </xf>
    <xf numFmtId="0" fontId="0" fillId="8" borderId="0" xfId="0" applyFill="1" applyProtection="1">
      <protection hidden="1"/>
    </xf>
    <xf numFmtId="0" fontId="0" fillId="8" borderId="0" xfId="0" applyFill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165" fontId="2" fillId="0" borderId="0" xfId="0" applyNumberFormat="1" applyFont="1" applyAlignment="1" applyProtection="1">
      <alignment horizontal="right"/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0" fontId="7" fillId="2" borderId="0" xfId="0" applyFont="1" applyFill="1" applyAlignment="1" applyProtection="1">
      <alignment horizontal="center" vertical="top"/>
    </xf>
    <xf numFmtId="0" fontId="24" fillId="8" borderId="0" xfId="0" applyFont="1" applyFill="1" applyAlignment="1" applyProtection="1">
      <alignment horizontal="left"/>
    </xf>
    <xf numFmtId="0" fontId="25" fillId="3" borderId="0" xfId="0" applyFont="1" applyFill="1" applyAlignment="1" applyProtection="1">
      <alignment vertical="center"/>
    </xf>
    <xf numFmtId="166" fontId="2" fillId="0" borderId="0" xfId="0" applyNumberFormat="1" applyFont="1" applyProtection="1">
      <protection hidden="1"/>
    </xf>
    <xf numFmtId="11" fontId="2" fillId="0" borderId="0" xfId="0" applyNumberFormat="1" applyFont="1" applyProtection="1">
      <protection hidden="1"/>
    </xf>
    <xf numFmtId="0" fontId="26" fillId="3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left" vertical="center"/>
    </xf>
    <xf numFmtId="164" fontId="7" fillId="2" borderId="0" xfId="0" applyNumberFormat="1" applyFont="1" applyFill="1" applyAlignment="1" applyProtection="1">
      <alignment horizontal="center" vertical="center" wrapText="1"/>
    </xf>
    <xf numFmtId="0" fontId="22" fillId="10" borderId="0" xfId="0" applyFont="1" applyFill="1" applyAlignment="1" applyProtection="1">
      <alignment horizontal="center" vertical="center"/>
    </xf>
    <xf numFmtId="0" fontId="7" fillId="10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4" fillId="2" borderId="0" xfId="0" applyFont="1" applyFill="1" applyProtection="1"/>
    <xf numFmtId="0" fontId="0" fillId="8" borderId="0" xfId="0" applyFill="1" applyAlignment="1" applyProtection="1"/>
    <xf numFmtId="0" fontId="6" fillId="8" borderId="0" xfId="0" applyFont="1" applyFill="1" applyProtection="1"/>
    <xf numFmtId="0" fontId="28" fillId="10" borderId="0" xfId="0" applyFont="1" applyFill="1" applyAlignment="1" applyProtection="1">
      <alignment horizontal="center" vertical="center"/>
    </xf>
    <xf numFmtId="0" fontId="27" fillId="10" borderId="0" xfId="0" applyFont="1" applyFill="1" applyAlignment="1" applyProtection="1">
      <alignment vertical="center"/>
    </xf>
    <xf numFmtId="0" fontId="27" fillId="10" borderId="0" xfId="0" applyFont="1" applyFill="1" applyAlignment="1" applyProtection="1">
      <alignment horizontal="center" vertical="center"/>
    </xf>
    <xf numFmtId="0" fontId="1" fillId="8" borderId="0" xfId="0" applyFont="1" applyFill="1" applyProtection="1"/>
    <xf numFmtId="164" fontId="31" fillId="2" borderId="0" xfId="0" applyNumberFormat="1" applyFont="1" applyFill="1" applyAlignment="1" applyProtection="1">
      <alignment horizontal="center" vertical="center" wrapText="1"/>
    </xf>
    <xf numFmtId="2" fontId="31" fillId="2" borderId="0" xfId="0" applyNumberFormat="1" applyFont="1" applyFill="1" applyAlignment="1" applyProtection="1">
      <alignment horizontal="center"/>
    </xf>
    <xf numFmtId="0" fontId="30" fillId="2" borderId="0" xfId="0" applyFont="1" applyFill="1" applyAlignment="1" applyProtection="1"/>
    <xf numFmtId="0" fontId="14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vertical="top"/>
    </xf>
    <xf numFmtId="0" fontId="14" fillId="2" borderId="0" xfId="0" applyFont="1" applyFill="1" applyAlignment="1" applyProtection="1">
      <alignment horizontal="left" vertical="top"/>
    </xf>
    <xf numFmtId="166" fontId="31" fillId="2" borderId="0" xfId="0" applyNumberFormat="1" applyFont="1" applyFill="1" applyAlignment="1" applyProtection="1">
      <alignment horizontal="center" vertical="top" wrapText="1"/>
    </xf>
    <xf numFmtId="0" fontId="0" fillId="12" borderId="0" xfId="0" applyFill="1" applyProtection="1"/>
    <xf numFmtId="0" fontId="7" fillId="2" borderId="0" xfId="0" applyFont="1" applyFill="1" applyAlignment="1" applyProtection="1">
      <alignment horizontal="center" vertical="center" wrapText="1"/>
    </xf>
    <xf numFmtId="0" fontId="27" fillId="10" borderId="0" xfId="0" applyFont="1" applyFill="1" applyAlignment="1" applyProtection="1">
      <alignment horizontal="center" vertical="center"/>
    </xf>
    <xf numFmtId="0" fontId="15" fillId="5" borderId="0" xfId="0" applyFont="1" applyFill="1" applyAlignment="1" applyProtection="1">
      <alignment horizontal="right" vertical="center"/>
      <protection locked="0"/>
    </xf>
    <xf numFmtId="166" fontId="0" fillId="9" borderId="0" xfId="0" applyNumberFormat="1" applyFill="1" applyProtection="1"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9" fontId="2" fillId="0" borderId="0" xfId="0" applyNumberFormat="1" applyFont="1" applyAlignment="1" applyProtection="1">
      <alignment horizontal="center"/>
      <protection hidden="1"/>
    </xf>
    <xf numFmtId="9" fontId="2" fillId="0" borderId="0" xfId="85" quotePrefix="1" applyFont="1" applyProtection="1">
      <protection hidden="1"/>
    </xf>
    <xf numFmtId="0" fontId="7" fillId="4" borderId="0" xfId="0" applyFont="1" applyFill="1" applyAlignment="1" applyProtection="1">
      <alignment horizontal="center" vertical="center" textRotation="90"/>
    </xf>
    <xf numFmtId="0" fontId="7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</xf>
    <xf numFmtId="0" fontId="27" fillId="10" borderId="0" xfId="0" applyFont="1" applyFill="1" applyAlignment="1" applyProtection="1">
      <alignment horizontal="center" vertical="center"/>
    </xf>
    <xf numFmtId="0" fontId="29" fillId="11" borderId="0" xfId="0" applyFont="1" applyFill="1" applyAlignment="1" applyProtection="1">
      <alignment horizontal="center" vertical="center"/>
      <protection locked="0"/>
    </xf>
  </cellXfs>
  <cellStyles count="9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  <cellStyle name="Percent" xfId="85" builtinId="5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27</xdr:row>
      <xdr:rowOff>114300</xdr:rowOff>
    </xdr:from>
    <xdr:to>
      <xdr:col>11</xdr:col>
      <xdr:colOff>123825</xdr:colOff>
      <xdr:row>31</xdr:row>
      <xdr:rowOff>85725</xdr:rowOff>
    </xdr:to>
    <xdr:sp macro="" textlink="">
      <xdr:nvSpPr>
        <xdr:cNvPr id="3" name="Rounded Rectangle 2"/>
        <xdr:cNvSpPr/>
      </xdr:nvSpPr>
      <xdr:spPr>
        <a:xfrm>
          <a:off x="4457700" y="5724525"/>
          <a:ext cx="3105150" cy="847725"/>
        </a:xfrm>
        <a:prstGeom prst="roundRect">
          <a:avLst/>
        </a:prstGeom>
        <a:solidFill>
          <a:srgbClr val="9BBB59">
            <a:alpha val="3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19050</xdr:colOff>
      <xdr:row>27</xdr:row>
      <xdr:rowOff>114300</xdr:rowOff>
    </xdr:from>
    <xdr:to>
      <xdr:col>16</xdr:col>
      <xdr:colOff>85725</xdr:colOff>
      <xdr:row>31</xdr:row>
      <xdr:rowOff>87600</xdr:rowOff>
    </xdr:to>
    <xdr:sp macro="" textlink="">
      <xdr:nvSpPr>
        <xdr:cNvPr id="6" name="Rounded Rectangle 5"/>
        <xdr:cNvSpPr/>
      </xdr:nvSpPr>
      <xdr:spPr>
        <a:xfrm>
          <a:off x="8048625" y="5915025"/>
          <a:ext cx="2524125" cy="849600"/>
        </a:xfrm>
        <a:prstGeom prst="roundRect">
          <a:avLst/>
        </a:prstGeom>
        <a:solidFill>
          <a:srgbClr val="9BBB59">
            <a:alpha val="3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285750</xdr:colOff>
      <xdr:row>27</xdr:row>
      <xdr:rowOff>114301</xdr:rowOff>
    </xdr:from>
    <xdr:to>
      <xdr:col>5</xdr:col>
      <xdr:colOff>600075</xdr:colOff>
      <xdr:row>31</xdr:row>
      <xdr:rowOff>87601</xdr:rowOff>
    </xdr:to>
    <xdr:sp macro="" textlink="">
      <xdr:nvSpPr>
        <xdr:cNvPr id="7" name="Rounded Rectangle 6"/>
        <xdr:cNvSpPr/>
      </xdr:nvSpPr>
      <xdr:spPr>
        <a:xfrm>
          <a:off x="1600200" y="5724526"/>
          <a:ext cx="2428875" cy="849600"/>
        </a:xfrm>
        <a:prstGeom prst="roundRect">
          <a:avLst/>
        </a:prstGeom>
        <a:solidFill>
          <a:schemeClr val="accent3">
            <a:alpha val="3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600075</xdr:colOff>
      <xdr:row>29</xdr:row>
      <xdr:rowOff>119063</xdr:rowOff>
    </xdr:from>
    <xdr:to>
      <xdr:col>6</xdr:col>
      <xdr:colOff>295275</xdr:colOff>
      <xdr:row>29</xdr:row>
      <xdr:rowOff>120001</xdr:rowOff>
    </xdr:to>
    <xdr:cxnSp macro="">
      <xdr:nvCxnSpPr>
        <xdr:cNvPr id="9" name="Elbow Connector 8"/>
        <xdr:cNvCxnSpPr>
          <a:stCxn id="7" idx="3"/>
          <a:endCxn id="3" idx="1"/>
        </xdr:cNvCxnSpPr>
      </xdr:nvCxnSpPr>
      <xdr:spPr>
        <a:xfrm flipV="1">
          <a:off x="4029075" y="6148388"/>
          <a:ext cx="428625" cy="938"/>
        </a:xfrm>
        <a:prstGeom prst="bentConnector3">
          <a:avLst>
            <a:gd name="adj1" fmla="val 50000"/>
          </a:avLst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123825</xdr:colOff>
      <xdr:row>29</xdr:row>
      <xdr:rowOff>119063</xdr:rowOff>
    </xdr:from>
    <xdr:to>
      <xdr:col>12</xdr:col>
      <xdr:colOff>19050</xdr:colOff>
      <xdr:row>29</xdr:row>
      <xdr:rowOff>120000</xdr:rowOff>
    </xdr:to>
    <xdr:cxnSp macro="">
      <xdr:nvCxnSpPr>
        <xdr:cNvPr id="13" name="Elbow Connector 12"/>
        <xdr:cNvCxnSpPr>
          <a:stCxn id="3" idx="3"/>
          <a:endCxn id="6" idx="1"/>
        </xdr:cNvCxnSpPr>
      </xdr:nvCxnSpPr>
      <xdr:spPr>
        <a:xfrm>
          <a:off x="7562850" y="6338888"/>
          <a:ext cx="485775" cy="937"/>
        </a:xfrm>
        <a:prstGeom prst="bentConnector3">
          <a:avLst>
            <a:gd name="adj1" fmla="val 50000"/>
          </a:avLst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27</xdr:row>
      <xdr:rowOff>114300</xdr:rowOff>
    </xdr:from>
    <xdr:to>
      <xdr:col>11</xdr:col>
      <xdr:colOff>123825</xdr:colOff>
      <xdr:row>31</xdr:row>
      <xdr:rowOff>85725</xdr:rowOff>
    </xdr:to>
    <xdr:sp macro="" textlink="">
      <xdr:nvSpPr>
        <xdr:cNvPr id="2" name="Rounded Rectangle 1"/>
        <xdr:cNvSpPr/>
      </xdr:nvSpPr>
      <xdr:spPr>
        <a:xfrm>
          <a:off x="5045075" y="5689600"/>
          <a:ext cx="3575050" cy="860425"/>
        </a:xfrm>
        <a:prstGeom prst="roundRect">
          <a:avLst/>
        </a:prstGeom>
        <a:solidFill>
          <a:srgbClr val="9BBB59">
            <a:alpha val="3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19050</xdr:colOff>
      <xdr:row>27</xdr:row>
      <xdr:rowOff>114300</xdr:rowOff>
    </xdr:from>
    <xdr:to>
      <xdr:col>16</xdr:col>
      <xdr:colOff>85725</xdr:colOff>
      <xdr:row>31</xdr:row>
      <xdr:rowOff>87600</xdr:rowOff>
    </xdr:to>
    <xdr:sp macro="" textlink="">
      <xdr:nvSpPr>
        <xdr:cNvPr id="3" name="Rounded Rectangle 2"/>
        <xdr:cNvSpPr/>
      </xdr:nvSpPr>
      <xdr:spPr>
        <a:xfrm>
          <a:off x="9188450" y="5689600"/>
          <a:ext cx="2873375" cy="862300"/>
        </a:xfrm>
        <a:prstGeom prst="roundRect">
          <a:avLst/>
        </a:prstGeom>
        <a:solidFill>
          <a:srgbClr val="9BBB59">
            <a:alpha val="3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285750</xdr:colOff>
      <xdr:row>27</xdr:row>
      <xdr:rowOff>114301</xdr:rowOff>
    </xdr:from>
    <xdr:to>
      <xdr:col>5</xdr:col>
      <xdr:colOff>600075</xdr:colOff>
      <xdr:row>31</xdr:row>
      <xdr:rowOff>87601</xdr:rowOff>
    </xdr:to>
    <xdr:sp macro="" textlink="">
      <xdr:nvSpPr>
        <xdr:cNvPr id="4" name="Rounded Rectangle 3"/>
        <xdr:cNvSpPr/>
      </xdr:nvSpPr>
      <xdr:spPr>
        <a:xfrm>
          <a:off x="1784350" y="5689601"/>
          <a:ext cx="2727325" cy="862300"/>
        </a:xfrm>
        <a:prstGeom prst="roundRect">
          <a:avLst/>
        </a:prstGeom>
        <a:solidFill>
          <a:schemeClr val="accent3">
            <a:alpha val="3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600075</xdr:colOff>
      <xdr:row>29</xdr:row>
      <xdr:rowOff>119063</xdr:rowOff>
    </xdr:from>
    <xdr:to>
      <xdr:col>6</xdr:col>
      <xdr:colOff>295275</xdr:colOff>
      <xdr:row>29</xdr:row>
      <xdr:rowOff>120001</xdr:rowOff>
    </xdr:to>
    <xdr:cxnSp macro="">
      <xdr:nvCxnSpPr>
        <xdr:cNvPr id="5" name="Elbow Connector 4"/>
        <xdr:cNvCxnSpPr>
          <a:stCxn id="4" idx="3"/>
          <a:endCxn id="2" idx="1"/>
        </xdr:cNvCxnSpPr>
      </xdr:nvCxnSpPr>
      <xdr:spPr>
        <a:xfrm flipV="1">
          <a:off x="4511675" y="6126163"/>
          <a:ext cx="533400" cy="938"/>
        </a:xfrm>
        <a:prstGeom prst="bentConnector3">
          <a:avLst>
            <a:gd name="adj1" fmla="val 50000"/>
          </a:avLst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123825</xdr:colOff>
      <xdr:row>29</xdr:row>
      <xdr:rowOff>119063</xdr:rowOff>
    </xdr:from>
    <xdr:to>
      <xdr:col>12</xdr:col>
      <xdr:colOff>19050</xdr:colOff>
      <xdr:row>29</xdr:row>
      <xdr:rowOff>120000</xdr:rowOff>
    </xdr:to>
    <xdr:cxnSp macro="">
      <xdr:nvCxnSpPr>
        <xdr:cNvPr id="6" name="Elbow Connector 5"/>
        <xdr:cNvCxnSpPr>
          <a:stCxn id="2" idx="3"/>
          <a:endCxn id="3" idx="1"/>
        </xdr:cNvCxnSpPr>
      </xdr:nvCxnSpPr>
      <xdr:spPr>
        <a:xfrm>
          <a:off x="8620125" y="6126163"/>
          <a:ext cx="568325" cy="937"/>
        </a:xfrm>
        <a:prstGeom prst="bentConnector3">
          <a:avLst>
            <a:gd name="adj1" fmla="val 50000"/>
          </a:avLst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17"/>
  <sheetViews>
    <sheetView zoomScale="85" zoomScaleNormal="85" workbookViewId="0">
      <selection activeCell="F4" sqref="F4"/>
    </sheetView>
  </sheetViews>
  <sheetFormatPr defaultColWidth="8.85546875" defaultRowHeight="15"/>
  <cols>
    <col min="1" max="1" width="7.7109375" style="27" customWidth="1"/>
    <col min="2" max="2" width="12" style="26" bestFit="1" customWidth="1"/>
    <col min="3" max="3" width="9" style="27" bestFit="1" customWidth="1"/>
    <col min="4" max="4" width="12" style="27" bestFit="1" customWidth="1"/>
    <col min="5" max="5" width="10.7109375" style="27" customWidth="1"/>
    <col min="6" max="6" width="11" style="27" bestFit="1" customWidth="1"/>
    <col min="7" max="7" width="7.42578125" style="27" customWidth="1"/>
    <col min="8" max="8" width="8.85546875" style="27"/>
    <col min="9" max="9" width="15.140625" style="27" customWidth="1"/>
    <col min="10" max="13" width="8.85546875" style="27"/>
    <col min="14" max="14" width="10.28515625" style="27" customWidth="1"/>
    <col min="15" max="16" width="8.85546875" style="27"/>
    <col min="17" max="17" width="9.42578125" style="27" customWidth="1"/>
    <col min="18" max="18" width="10.7109375" style="27" customWidth="1"/>
    <col min="19" max="16384" width="8.85546875" style="27"/>
  </cols>
  <sheetData>
    <row r="1" spans="2:19" s="7" customFormat="1">
      <c r="B1" s="6"/>
    </row>
    <row r="2" spans="2:19" s="7" customFormat="1" ht="23.25">
      <c r="B2" s="54" t="s">
        <v>85</v>
      </c>
      <c r="C2" s="8"/>
      <c r="D2" s="8"/>
      <c r="E2" s="8"/>
      <c r="F2" s="8"/>
      <c r="G2" s="9"/>
      <c r="H2" s="77"/>
      <c r="I2" s="9" t="s">
        <v>52</v>
      </c>
      <c r="J2" s="9"/>
      <c r="K2" s="9"/>
      <c r="L2" s="10">
        <v>41366</v>
      </c>
      <c r="M2" s="9" t="s">
        <v>115</v>
      </c>
      <c r="N2" s="9"/>
      <c r="O2" s="11" t="s">
        <v>27</v>
      </c>
      <c r="P2" s="9"/>
      <c r="Q2" s="51"/>
      <c r="R2" s="9"/>
    </row>
    <row r="3" spans="2:19" s="7" customFormat="1" ht="15.7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2:19" s="7" customFormat="1" ht="18.75">
      <c r="B4" s="13"/>
      <c r="C4" s="13"/>
      <c r="D4" s="14" t="s">
        <v>98</v>
      </c>
      <c r="E4" s="13"/>
      <c r="F4" s="89" t="s">
        <v>83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2:19" s="7" customFormat="1" ht="18.75">
      <c r="B5" s="85" t="s">
        <v>28</v>
      </c>
      <c r="C5" s="13"/>
      <c r="D5" s="14" t="s">
        <v>29</v>
      </c>
      <c r="E5" s="15"/>
      <c r="F5" s="15"/>
      <c r="G5" s="15"/>
      <c r="H5" s="15"/>
      <c r="I5" s="14" t="s">
        <v>30</v>
      </c>
      <c r="J5" s="14"/>
      <c r="K5" s="13"/>
      <c r="L5" s="13"/>
      <c r="M5" s="13"/>
      <c r="N5" s="13"/>
      <c r="O5" s="13"/>
      <c r="P5" s="13"/>
      <c r="Q5" s="13"/>
      <c r="R5" s="13"/>
    </row>
    <row r="6" spans="2:19" s="7" customFormat="1" ht="15.75">
      <c r="B6" s="85"/>
      <c r="C6" s="13"/>
      <c r="D6" s="13"/>
      <c r="E6" s="13"/>
      <c r="F6" s="13"/>
      <c r="G6" s="13"/>
      <c r="H6" s="13"/>
      <c r="I6" s="13"/>
      <c r="J6" s="13"/>
      <c r="K6" s="16" t="s">
        <v>73</v>
      </c>
      <c r="L6" s="16" t="s">
        <v>31</v>
      </c>
      <c r="M6" s="13"/>
      <c r="N6" s="13"/>
      <c r="O6" s="13"/>
      <c r="P6" s="13"/>
      <c r="Q6" s="13"/>
      <c r="R6" s="13"/>
    </row>
    <row r="7" spans="2:19" s="7" customFormat="1" ht="15.75">
      <c r="B7" s="85"/>
      <c r="C7" s="13"/>
      <c r="D7" s="13" t="s">
        <v>32</v>
      </c>
      <c r="E7" s="13"/>
      <c r="F7" s="17">
        <v>2048</v>
      </c>
      <c r="G7" s="13" t="s">
        <v>4</v>
      </c>
      <c r="H7" s="13"/>
      <c r="I7" s="13" t="s">
        <v>33</v>
      </c>
      <c r="J7" s="13"/>
      <c r="K7" s="2">
        <v>2048</v>
      </c>
      <c r="L7" s="18">
        <f>MIN(F7,IF(F19=10,ROUNDDOWN(K7/80,0)*80,K7))</f>
        <v>2000</v>
      </c>
      <c r="M7" s="13" t="s">
        <v>4</v>
      </c>
      <c r="N7" s="13"/>
      <c r="O7" s="13"/>
      <c r="P7" s="13"/>
      <c r="Q7" s="13"/>
      <c r="R7" s="13"/>
      <c r="S7" s="7" t="s">
        <v>72</v>
      </c>
    </row>
    <row r="8" spans="2:19" s="7" customFormat="1" ht="15.75">
      <c r="B8" s="85"/>
      <c r="C8" s="13"/>
      <c r="D8" s="13" t="s">
        <v>34</v>
      </c>
      <c r="E8" s="13"/>
      <c r="F8" s="17">
        <f>IF(F4="Q4A180",2048,1088)</f>
        <v>2048</v>
      </c>
      <c r="G8" s="13" t="s">
        <v>35</v>
      </c>
      <c r="H8" s="13"/>
      <c r="I8" s="13" t="s">
        <v>36</v>
      </c>
      <c r="J8" s="13"/>
      <c r="K8" s="2">
        <v>2048</v>
      </c>
      <c r="L8" s="18">
        <f>MIN(K8,F8)</f>
        <v>2048</v>
      </c>
      <c r="M8" s="13" t="s">
        <v>4</v>
      </c>
      <c r="N8" s="13"/>
      <c r="O8" s="13"/>
      <c r="P8" s="13"/>
      <c r="Q8" s="13"/>
      <c r="R8" s="13"/>
    </row>
    <row r="9" spans="2:19" s="7" customFormat="1" ht="15.75">
      <c r="B9" s="85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2:19" s="7" customFormat="1" ht="15.75">
      <c r="B10" s="85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2:19" s="7" customFormat="1" ht="15.75">
      <c r="B11" s="8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2:19" s="7" customFormat="1" ht="15.75">
      <c r="B12" s="85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2:19" s="7" customFormat="1" ht="15.7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2:19" s="7" customFormat="1" ht="15" customHeight="1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2:19" s="7" customFormat="1" ht="15.7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2:19" s="7" customFormat="1" ht="18.75">
      <c r="B16" s="85" t="s">
        <v>39</v>
      </c>
      <c r="C16" s="13"/>
      <c r="D16" s="14" t="s">
        <v>40</v>
      </c>
      <c r="E16" s="14"/>
      <c r="F16" s="14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2:20" s="7" customFormat="1" ht="15.75">
      <c r="B17" s="85"/>
      <c r="C17" s="13"/>
      <c r="D17" s="13"/>
      <c r="E17" s="13"/>
      <c r="F17" s="16" t="s">
        <v>73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2:20" s="7" customFormat="1" ht="15.75">
      <c r="B18" s="85"/>
      <c r="C18" s="13"/>
      <c r="D18" s="13" t="s">
        <v>41</v>
      </c>
      <c r="E18" s="13"/>
      <c r="F18" s="2">
        <v>85</v>
      </c>
      <c r="G18" s="13" t="s">
        <v>42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2:20" s="7" customFormat="1" ht="15.75">
      <c r="B19" s="85"/>
      <c r="C19" s="13"/>
      <c r="D19" s="13" t="s">
        <v>43</v>
      </c>
      <c r="E19" s="13"/>
      <c r="F19" s="2">
        <v>10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7" t="s">
        <v>72</v>
      </c>
    </row>
    <row r="20" spans="2:20" s="7" customFormat="1" ht="15.75">
      <c r="B20" s="85"/>
      <c r="C20" s="13"/>
      <c r="D20" s="13" t="s">
        <v>44</v>
      </c>
      <c r="E20" s="13"/>
      <c r="F20" s="2">
        <v>8</v>
      </c>
      <c r="G20" s="13" t="s">
        <v>7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2:20" s="7" customFormat="1" ht="15.75">
      <c r="B21" s="85"/>
      <c r="C21" s="13"/>
      <c r="D21" s="13"/>
      <c r="E21" s="13"/>
      <c r="F21" s="13"/>
      <c r="G21" s="13"/>
      <c r="H21" s="13"/>
      <c r="I21" s="13"/>
      <c r="J21" s="13"/>
      <c r="K21" s="13"/>
      <c r="L21" s="13" t="s">
        <v>75</v>
      </c>
      <c r="M21" s="13"/>
      <c r="N21" s="13"/>
      <c r="O21" s="13"/>
      <c r="P21" s="13"/>
      <c r="Q21" s="13"/>
      <c r="R21" s="13"/>
    </row>
    <row r="22" spans="2:20" s="7" customFormat="1" ht="15.7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2:20" s="7" customFormat="1" ht="15.7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2:20" s="7" customFormat="1" ht="15.7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2:20" s="7" customFormat="1" ht="28.5">
      <c r="B25" s="13"/>
      <c r="C25" s="13"/>
      <c r="D25" s="67" t="s">
        <v>93</v>
      </c>
      <c r="E25" s="67"/>
      <c r="F25" s="61"/>
      <c r="G25" s="61"/>
      <c r="H25" s="67"/>
      <c r="I25" s="68" t="s">
        <v>105</v>
      </c>
      <c r="J25" s="67"/>
      <c r="K25" s="67"/>
      <c r="L25" s="60"/>
      <c r="M25" s="67"/>
      <c r="N25" s="88" t="s">
        <v>94</v>
      </c>
      <c r="O25" s="88"/>
      <c r="P25" s="67"/>
      <c r="Q25" s="60"/>
      <c r="R25" s="60"/>
    </row>
    <row r="26" spans="2:20" s="7" customFormat="1" ht="18.75" customHeight="1">
      <c r="B26" s="85" t="s">
        <v>97</v>
      </c>
      <c r="C26" s="13"/>
      <c r="D26" s="65" t="s">
        <v>104</v>
      </c>
      <c r="E26" s="66"/>
      <c r="F26" s="60"/>
      <c r="G26" s="60"/>
      <c r="H26" s="60"/>
      <c r="I26" s="61"/>
      <c r="J26" s="61"/>
      <c r="K26" s="60"/>
      <c r="L26" s="60"/>
      <c r="M26" s="60"/>
      <c r="N26" s="60"/>
      <c r="O26" s="60"/>
      <c r="P26" s="60"/>
      <c r="Q26" s="60"/>
      <c r="R26" s="60"/>
    </row>
    <row r="27" spans="2:20" s="7" customFormat="1" ht="17.100000000000001" customHeight="1">
      <c r="B27" s="85"/>
      <c r="C27" s="13"/>
      <c r="D27" s="2">
        <v>180</v>
      </c>
      <c r="E27" s="69" t="s">
        <v>51</v>
      </c>
      <c r="G27" s="60"/>
      <c r="H27" s="60"/>
      <c r="I27" s="61"/>
      <c r="J27" s="61"/>
      <c r="K27" s="60"/>
      <c r="L27" s="60"/>
      <c r="M27" s="60"/>
      <c r="N27" s="60"/>
      <c r="O27" s="60"/>
      <c r="P27" s="60"/>
      <c r="Q27" s="60"/>
      <c r="R27" s="60"/>
    </row>
    <row r="28" spans="2:20" s="7" customFormat="1" ht="17.100000000000001" customHeight="1">
      <c r="B28" s="85"/>
      <c r="C28" s="13"/>
    </row>
    <row r="29" spans="2:20" s="7" customFormat="1" ht="17.100000000000001" customHeight="1">
      <c r="B29" s="85"/>
      <c r="C29" s="13"/>
      <c r="D29" s="17" t="s">
        <v>92</v>
      </c>
      <c r="H29" s="74" t="s">
        <v>101</v>
      </c>
      <c r="I29" s="65"/>
      <c r="J29" s="76" t="str">
        <f>I209</f>
        <v>-</v>
      </c>
      <c r="K29" s="75" t="s">
        <v>100</v>
      </c>
      <c r="N29" s="17" t="s">
        <v>95</v>
      </c>
      <c r="O29" s="62"/>
      <c r="P29" s="13"/>
      <c r="Q29" s="13"/>
      <c r="R29" s="64"/>
    </row>
    <row r="30" spans="2:20" s="7" customFormat="1" ht="18" customHeight="1">
      <c r="B30" s="85"/>
      <c r="C30" s="13"/>
      <c r="D30" s="17" t="s">
        <v>91</v>
      </c>
      <c r="E30" s="72">
        <f>MIN(D27,E31)</f>
        <v>180</v>
      </c>
      <c r="F30" s="17" t="s">
        <v>51</v>
      </c>
      <c r="H30" s="17" t="s">
        <v>106</v>
      </c>
      <c r="J30" s="70" t="str">
        <f>I210</f>
        <v>-</v>
      </c>
      <c r="K30" s="58" t="s">
        <v>55</v>
      </c>
      <c r="N30" s="58" t="s">
        <v>96</v>
      </c>
      <c r="O30" s="72">
        <f>MIN(D206,D207,E30)</f>
        <v>180</v>
      </c>
      <c r="P30" s="17" t="s">
        <v>51</v>
      </c>
      <c r="S30" s="87"/>
      <c r="T30" s="87"/>
    </row>
    <row r="31" spans="2:20" s="7" customFormat="1" ht="18" customHeight="1">
      <c r="B31" s="85"/>
      <c r="C31" s="13"/>
      <c r="D31" s="17" t="s">
        <v>90</v>
      </c>
      <c r="E31" s="17">
        <f>D207</f>
        <v>180.4</v>
      </c>
      <c r="F31" s="17" t="s">
        <v>51</v>
      </c>
      <c r="H31" s="73" t="s">
        <v>99</v>
      </c>
      <c r="J31" s="71">
        <f>L7*L8/(1024*1024)</f>
        <v>3.90625</v>
      </c>
      <c r="K31" s="63" t="s">
        <v>37</v>
      </c>
      <c r="L31" s="57"/>
      <c r="M31" s="13"/>
      <c r="O31" s="13"/>
      <c r="Q31" s="55"/>
      <c r="S31" s="86"/>
      <c r="T31" s="86"/>
    </row>
    <row r="32" spans="2:20" s="7" customFormat="1" ht="18" customHeight="1">
      <c r="B32" s="85"/>
      <c r="C32" s="13"/>
      <c r="D32" s="13"/>
      <c r="E32" s="57"/>
      <c r="M32" s="13"/>
      <c r="O32" s="13"/>
      <c r="P32" s="13"/>
      <c r="Q32" s="55"/>
      <c r="R32" s="59"/>
      <c r="S32" s="55"/>
      <c r="T32" s="55"/>
    </row>
    <row r="33" spans="2:20" s="7" customFormat="1" ht="16.5" customHeight="1">
      <c r="B33" s="85"/>
      <c r="C33" s="13"/>
      <c r="D33" s="13"/>
      <c r="E33" s="57"/>
      <c r="L33" s="56"/>
      <c r="M33" s="13"/>
      <c r="O33" s="13"/>
      <c r="P33" s="13"/>
      <c r="Q33" s="55"/>
      <c r="R33" s="59"/>
      <c r="S33" s="55"/>
      <c r="T33" s="55"/>
    </row>
    <row r="34" spans="2:20" s="7" customFormat="1" ht="15.75">
      <c r="B34" s="12"/>
      <c r="C34" s="12"/>
      <c r="D34" s="12"/>
      <c r="E34" s="12"/>
      <c r="F34" s="12"/>
      <c r="G34" s="12"/>
      <c r="H34" s="12"/>
      <c r="K34" s="12"/>
      <c r="L34" s="12"/>
      <c r="M34" s="12"/>
      <c r="N34" s="12"/>
      <c r="O34" s="12"/>
      <c r="P34" s="49"/>
      <c r="R34" s="49"/>
    </row>
    <row r="35" spans="2:20" s="7" customFormat="1" ht="15" customHeight="1">
      <c r="B35" s="20"/>
      <c r="C35" s="21"/>
      <c r="D35" s="21"/>
      <c r="E35" s="21"/>
      <c r="F35" s="22"/>
      <c r="G35" s="21"/>
      <c r="H35" s="21"/>
      <c r="I35" s="21"/>
      <c r="J35" s="21"/>
      <c r="K35" s="21"/>
      <c r="L35" s="23"/>
      <c r="M35" s="21"/>
      <c r="N35" s="21"/>
      <c r="O35" s="24"/>
      <c r="P35" s="21"/>
      <c r="Q35" s="25"/>
      <c r="R35" s="21"/>
    </row>
    <row r="36" spans="2:20" s="7" customFormat="1">
      <c r="B36" s="6"/>
    </row>
    <row r="37" spans="2:20" s="7" customFormat="1">
      <c r="B37" s="50" t="s">
        <v>68</v>
      </c>
    </row>
    <row r="38" spans="2:20" s="7" customFormat="1">
      <c r="B38" s="6"/>
    </row>
    <row r="39" spans="2:20" s="7" customFormat="1" ht="3" customHeight="1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2:20" s="7" customFormat="1">
      <c r="B40" s="6"/>
    </row>
    <row r="41" spans="2:20" s="7" customFormat="1">
      <c r="B41" s="6" t="s">
        <v>69</v>
      </c>
      <c r="C41" s="7" t="s">
        <v>70</v>
      </c>
      <c r="D41" s="7" t="s">
        <v>74</v>
      </c>
    </row>
    <row r="42" spans="2:20" s="7" customFormat="1">
      <c r="B42" s="6"/>
    </row>
    <row r="43" spans="2:20" s="7" customFormat="1">
      <c r="B43" s="6"/>
    </row>
    <row r="44" spans="2:20" s="7" customFormat="1">
      <c r="B44" s="6"/>
    </row>
    <row r="45" spans="2:20" s="7" customFormat="1">
      <c r="B45" s="6"/>
    </row>
    <row r="46" spans="2:20" s="7" customFormat="1">
      <c r="B46" s="6"/>
    </row>
    <row r="47" spans="2:20" s="7" customFormat="1">
      <c r="B47" s="6"/>
    </row>
    <row r="48" spans="2:20" s="7" customFormat="1">
      <c r="B48" s="6"/>
    </row>
    <row r="49" spans="2:2" s="7" customFormat="1">
      <c r="B49" s="6"/>
    </row>
    <row r="50" spans="2:2" s="7" customFormat="1">
      <c r="B50" s="6"/>
    </row>
    <row r="51" spans="2:2" s="7" customFormat="1">
      <c r="B51" s="6"/>
    </row>
    <row r="52" spans="2:2" s="7" customFormat="1">
      <c r="B52" s="6"/>
    </row>
    <row r="53" spans="2:2" s="7" customFormat="1">
      <c r="B53" s="6"/>
    </row>
    <row r="54" spans="2:2" s="7" customFormat="1">
      <c r="B54" s="6"/>
    </row>
    <row r="55" spans="2:2" s="7" customFormat="1">
      <c r="B55" s="6"/>
    </row>
    <row r="56" spans="2:2" s="7" customFormat="1">
      <c r="B56" s="6"/>
    </row>
    <row r="57" spans="2:2" s="7" customFormat="1">
      <c r="B57" s="6"/>
    </row>
    <row r="58" spans="2:2" s="7" customFormat="1">
      <c r="B58" s="6"/>
    </row>
    <row r="59" spans="2:2" s="7" customFormat="1">
      <c r="B59" s="6"/>
    </row>
    <row r="60" spans="2:2" s="7" customFormat="1">
      <c r="B60" s="6"/>
    </row>
    <row r="61" spans="2:2" s="7" customFormat="1">
      <c r="B61" s="6"/>
    </row>
    <row r="62" spans="2:2" s="7" customFormat="1">
      <c r="B62" s="6"/>
    </row>
    <row r="63" spans="2:2" s="7" customFormat="1">
      <c r="B63" s="6"/>
    </row>
    <row r="64" spans="2:2" s="7" customFormat="1">
      <c r="B64" s="6"/>
    </row>
    <row r="65" spans="2:2" s="7" customFormat="1">
      <c r="B65" s="6"/>
    </row>
    <row r="66" spans="2:2" s="7" customFormat="1">
      <c r="B66" s="6"/>
    </row>
    <row r="67" spans="2:2" s="7" customFormat="1">
      <c r="B67" s="6"/>
    </row>
    <row r="68" spans="2:2" s="7" customFormat="1">
      <c r="B68" s="6"/>
    </row>
    <row r="69" spans="2:2" s="7" customFormat="1">
      <c r="B69" s="6"/>
    </row>
    <row r="70" spans="2:2" s="7" customFormat="1">
      <c r="B70" s="6"/>
    </row>
    <row r="71" spans="2:2" s="7" customFormat="1">
      <c r="B71" s="6"/>
    </row>
    <row r="72" spans="2:2" s="7" customFormat="1">
      <c r="B72" s="6"/>
    </row>
    <row r="73" spans="2:2" s="7" customFormat="1">
      <c r="B73" s="6"/>
    </row>
    <row r="74" spans="2:2" s="7" customFormat="1">
      <c r="B74" s="6"/>
    </row>
    <row r="75" spans="2:2" s="7" customFormat="1">
      <c r="B75" s="6"/>
    </row>
    <row r="76" spans="2:2" s="7" customFormat="1">
      <c r="B76" s="6"/>
    </row>
    <row r="77" spans="2:2" s="7" customFormat="1">
      <c r="B77" s="6"/>
    </row>
    <row r="78" spans="2:2" s="7" customFormat="1">
      <c r="B78" s="6"/>
    </row>
    <row r="79" spans="2:2" s="7" customFormat="1">
      <c r="B79" s="6"/>
    </row>
    <row r="80" spans="2:2" s="7" customFormat="1">
      <c r="B80" s="6"/>
    </row>
    <row r="81" spans="2:18" s="7" customFormat="1">
      <c r="B81" s="6"/>
    </row>
    <row r="82" spans="2:18" s="7" customFormat="1">
      <c r="B82" s="6"/>
    </row>
    <row r="83" spans="2:18" s="7" customFormat="1" hidden="1">
      <c r="B83" s="6"/>
    </row>
    <row r="84" spans="2:18" s="7" customFormat="1" hidden="1">
      <c r="B84" s="6"/>
    </row>
    <row r="85" spans="2:18" s="7" customFormat="1" hidden="1">
      <c r="B85" s="6"/>
    </row>
    <row r="86" spans="2:18" s="7" customFormat="1" hidden="1">
      <c r="B86" s="6"/>
    </row>
    <row r="87" spans="2:18" s="7" customFormat="1" hidden="1">
      <c r="B87" s="6"/>
    </row>
    <row r="88" spans="2:18" s="7" customFormat="1" ht="3" hidden="1" customHeight="1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2:18" s="7" customFormat="1" hidden="1">
      <c r="B89" s="6"/>
    </row>
    <row r="90" spans="2:18" s="44" customFormat="1" hidden="1">
      <c r="B90" s="43" t="s">
        <v>71</v>
      </c>
      <c r="D90" s="45" t="s">
        <v>45</v>
      </c>
      <c r="E90" s="45"/>
      <c r="F90" s="45" t="s">
        <v>78</v>
      </c>
      <c r="G90" s="45" t="s">
        <v>46</v>
      </c>
    </row>
    <row r="91" spans="2:18" s="44" customFormat="1" hidden="1">
      <c r="B91" s="43"/>
      <c r="D91" s="45" t="s">
        <v>80</v>
      </c>
      <c r="F91" s="44" t="s">
        <v>78</v>
      </c>
      <c r="G91" s="44" t="s">
        <v>81</v>
      </c>
    </row>
    <row r="92" spans="2:18" s="44" customFormat="1" hidden="1">
      <c r="B92" s="43"/>
      <c r="D92" s="44" t="s">
        <v>102</v>
      </c>
      <c r="F92" s="44" t="s">
        <v>78</v>
      </c>
      <c r="G92" s="44" t="s">
        <v>103</v>
      </c>
    </row>
    <row r="93" spans="2:18" s="44" customFormat="1" hidden="1">
      <c r="B93" s="43"/>
      <c r="D93" s="44" t="s">
        <v>107</v>
      </c>
      <c r="F93" s="44" t="s">
        <v>108</v>
      </c>
      <c r="G93" s="44" t="s">
        <v>109</v>
      </c>
    </row>
    <row r="94" spans="2:18" s="44" customFormat="1" hidden="1">
      <c r="B94" s="43"/>
      <c r="D94" s="44" t="s">
        <v>126</v>
      </c>
      <c r="F94" s="44" t="s">
        <v>78</v>
      </c>
      <c r="G94" s="44" t="s">
        <v>127</v>
      </c>
    </row>
    <row r="95" spans="2:18" s="7" customFormat="1" hidden="1">
      <c r="B95" s="6"/>
    </row>
    <row r="96" spans="2:18" s="7" customFormat="1" hidden="1">
      <c r="B96" s="6"/>
    </row>
    <row r="97" spans="2:2" s="7" customFormat="1">
      <c r="B97" s="6"/>
    </row>
    <row r="98" spans="2:2" s="7" customFormat="1">
      <c r="B98" s="6"/>
    </row>
    <row r="99" spans="2:2" s="7" customFormat="1">
      <c r="B99" s="6"/>
    </row>
    <row r="100" spans="2:2" s="7" customFormat="1">
      <c r="B100" s="6"/>
    </row>
    <row r="101" spans="2:2" s="7" customFormat="1">
      <c r="B101" s="6"/>
    </row>
    <row r="102" spans="2:2" s="7" customFormat="1">
      <c r="B102" s="6"/>
    </row>
    <row r="103" spans="2:2" s="7" customFormat="1">
      <c r="B103" s="6"/>
    </row>
    <row r="104" spans="2:2" s="7" customFormat="1">
      <c r="B104" s="6"/>
    </row>
    <row r="105" spans="2:2" s="7" customFormat="1">
      <c r="B105" s="6"/>
    </row>
    <row r="106" spans="2:2" s="7" customFormat="1">
      <c r="B106" s="6"/>
    </row>
    <row r="107" spans="2:2" s="7" customFormat="1">
      <c r="B107" s="6"/>
    </row>
    <row r="108" spans="2:2" s="7" customFormat="1">
      <c r="B108" s="6"/>
    </row>
    <row r="109" spans="2:2" s="7" customFormat="1">
      <c r="B109" s="6"/>
    </row>
    <row r="110" spans="2:2" s="7" customFormat="1">
      <c r="B110" s="6"/>
    </row>
    <row r="111" spans="2:2" s="7" customFormat="1">
      <c r="B111" s="6"/>
    </row>
    <row r="112" spans="2:2" s="7" customFormat="1">
      <c r="B112" s="6"/>
    </row>
    <row r="113" spans="2:2" s="7" customFormat="1">
      <c r="B113" s="6"/>
    </row>
    <row r="114" spans="2:2" s="7" customFormat="1">
      <c r="B114" s="6"/>
    </row>
    <row r="115" spans="2:2" s="7" customFormat="1">
      <c r="B115" s="6"/>
    </row>
    <row r="116" spans="2:2" s="7" customFormat="1">
      <c r="B116" s="6"/>
    </row>
    <row r="117" spans="2:2" s="7" customFormat="1">
      <c r="B117" s="6"/>
    </row>
    <row r="118" spans="2:2" s="7" customFormat="1">
      <c r="B118" s="6"/>
    </row>
    <row r="119" spans="2:2" s="7" customFormat="1">
      <c r="B119" s="6"/>
    </row>
    <row r="120" spans="2:2" s="7" customFormat="1">
      <c r="B120" s="6"/>
    </row>
    <row r="121" spans="2:2" s="7" customFormat="1">
      <c r="B121" s="6"/>
    </row>
    <row r="122" spans="2:2" s="7" customFormat="1">
      <c r="B122" s="6"/>
    </row>
    <row r="123" spans="2:2" s="7" customFormat="1">
      <c r="B123" s="6"/>
    </row>
    <row r="124" spans="2:2" s="7" customFormat="1">
      <c r="B124" s="6"/>
    </row>
    <row r="125" spans="2:2" s="7" customFormat="1">
      <c r="B125" s="6"/>
    </row>
    <row r="126" spans="2:2" s="7" customFormat="1">
      <c r="B126" s="6"/>
    </row>
    <row r="127" spans="2:2" s="7" customFormat="1">
      <c r="B127" s="6"/>
    </row>
    <row r="128" spans="2:2" s="7" customFormat="1">
      <c r="B128" s="6"/>
    </row>
    <row r="129" spans="2:2" s="7" customFormat="1">
      <c r="B129" s="6"/>
    </row>
    <row r="130" spans="2:2" s="7" customFormat="1">
      <c r="B130" s="6"/>
    </row>
    <row r="131" spans="2:2" s="7" customFormat="1">
      <c r="B131" s="6"/>
    </row>
    <row r="132" spans="2:2" s="7" customFormat="1">
      <c r="B132" s="6"/>
    </row>
    <row r="133" spans="2:2" s="7" customFormat="1">
      <c r="B133" s="6"/>
    </row>
    <row r="134" spans="2:2" s="7" customFormat="1">
      <c r="B134" s="6"/>
    </row>
    <row r="135" spans="2:2" s="7" customFormat="1">
      <c r="B135" s="6"/>
    </row>
    <row r="136" spans="2:2" s="7" customFormat="1">
      <c r="B136" s="6"/>
    </row>
    <row r="137" spans="2:2" s="7" customFormat="1">
      <c r="B137" s="6"/>
    </row>
    <row r="138" spans="2:2" s="7" customFormat="1">
      <c r="B138" s="6"/>
    </row>
    <row r="139" spans="2:2" s="7" customFormat="1">
      <c r="B139" s="6"/>
    </row>
    <row r="140" spans="2:2" s="7" customFormat="1">
      <c r="B140" s="6"/>
    </row>
    <row r="141" spans="2:2" s="7" customFormat="1">
      <c r="B141" s="6"/>
    </row>
    <row r="142" spans="2:2" s="7" customFormat="1">
      <c r="B142" s="6"/>
    </row>
    <row r="143" spans="2:2" s="7" customFormat="1">
      <c r="B143" s="6"/>
    </row>
    <row r="144" spans="2:2" s="7" customFormat="1">
      <c r="B144" s="6"/>
    </row>
    <row r="145" spans="2:2" s="7" customFormat="1">
      <c r="B145" s="6"/>
    </row>
    <row r="146" spans="2:2" s="7" customFormat="1">
      <c r="B146" s="6"/>
    </row>
    <row r="147" spans="2:2" s="7" customFormat="1">
      <c r="B147" s="6"/>
    </row>
    <row r="148" spans="2:2" s="7" customFormat="1">
      <c r="B148" s="6"/>
    </row>
    <row r="149" spans="2:2" s="7" customFormat="1">
      <c r="B149" s="6"/>
    </row>
    <row r="150" spans="2:2" s="7" customFormat="1">
      <c r="B150" s="6"/>
    </row>
    <row r="151" spans="2:2" s="7" customFormat="1">
      <c r="B151" s="6"/>
    </row>
    <row r="152" spans="2:2" s="7" customFormat="1">
      <c r="B152" s="6"/>
    </row>
    <row r="153" spans="2:2" s="7" customFormat="1">
      <c r="B153" s="6"/>
    </row>
    <row r="154" spans="2:2" s="7" customFormat="1">
      <c r="B154" s="6"/>
    </row>
    <row r="155" spans="2:2" s="7" customFormat="1">
      <c r="B155" s="6"/>
    </row>
    <row r="156" spans="2:2" s="7" customFormat="1">
      <c r="B156" s="6"/>
    </row>
    <row r="157" spans="2:2" s="7" customFormat="1">
      <c r="B157" s="6"/>
    </row>
    <row r="158" spans="2:2" s="7" customFormat="1">
      <c r="B158" s="6"/>
    </row>
    <row r="159" spans="2:2" s="7" customFormat="1">
      <c r="B159" s="6"/>
    </row>
    <row r="160" spans="2:2" s="7" customFormat="1">
      <c r="B160" s="6"/>
    </row>
    <row r="161" spans="2:2" s="7" customFormat="1">
      <c r="B161" s="6"/>
    </row>
    <row r="162" spans="2:2" s="7" customFormat="1">
      <c r="B162" s="6"/>
    </row>
    <row r="163" spans="2:2" s="7" customFormat="1">
      <c r="B163" s="6"/>
    </row>
    <row r="164" spans="2:2" s="7" customFormat="1">
      <c r="B164" s="6"/>
    </row>
    <row r="165" spans="2:2" s="7" customFormat="1">
      <c r="B165" s="6"/>
    </row>
    <row r="166" spans="2:2" s="7" customFormat="1">
      <c r="B166" s="6"/>
    </row>
    <row r="167" spans="2:2" s="7" customFormat="1">
      <c r="B167" s="6"/>
    </row>
    <row r="168" spans="2:2" s="7" customFormat="1">
      <c r="B168" s="6"/>
    </row>
    <row r="169" spans="2:2" s="7" customFormat="1">
      <c r="B169" s="6"/>
    </row>
    <row r="170" spans="2:2" s="7" customFormat="1">
      <c r="B170" s="6"/>
    </row>
    <row r="171" spans="2:2" s="7" customFormat="1">
      <c r="B171" s="6"/>
    </row>
    <row r="172" spans="2:2" s="7" customFormat="1">
      <c r="B172" s="6"/>
    </row>
    <row r="173" spans="2:2" s="7" customFormat="1">
      <c r="B173" s="6"/>
    </row>
    <row r="174" spans="2:2" s="7" customFormat="1">
      <c r="B174" s="6"/>
    </row>
    <row r="175" spans="2:2" s="7" customFormat="1">
      <c r="B175" s="6"/>
    </row>
    <row r="176" spans="2:2" s="7" customFormat="1">
      <c r="B176" s="6"/>
    </row>
    <row r="177" spans="2:2" s="7" customFormat="1">
      <c r="B177" s="6"/>
    </row>
    <row r="178" spans="2:2" s="7" customFormat="1">
      <c r="B178" s="6"/>
    </row>
    <row r="179" spans="2:2" s="7" customFormat="1">
      <c r="B179" s="6"/>
    </row>
    <row r="180" spans="2:2" s="7" customFormat="1">
      <c r="B180" s="6"/>
    </row>
    <row r="181" spans="2:2" s="7" customFormat="1">
      <c r="B181" s="6"/>
    </row>
    <row r="182" spans="2:2" s="7" customFormat="1">
      <c r="B182" s="6"/>
    </row>
    <row r="183" spans="2:2" s="7" customFormat="1">
      <c r="B183" s="6"/>
    </row>
    <row r="184" spans="2:2" s="7" customFormat="1">
      <c r="B184" s="6"/>
    </row>
    <row r="185" spans="2:2" s="7" customFormat="1">
      <c r="B185" s="6"/>
    </row>
    <row r="186" spans="2:2" s="7" customFormat="1">
      <c r="B186" s="6"/>
    </row>
    <row r="187" spans="2:2" s="7" customFormat="1">
      <c r="B187" s="6"/>
    </row>
    <row r="188" spans="2:2" s="7" customFormat="1">
      <c r="B188" s="6"/>
    </row>
    <row r="192" spans="2:2" s="29" customFormat="1" hidden="1">
      <c r="B192" s="28"/>
    </row>
    <row r="193" spans="1:19" s="3" customFormat="1" hidden="1">
      <c r="B193" s="30"/>
    </row>
    <row r="194" spans="1:19" s="3" customFormat="1" ht="15.75" hidden="1">
      <c r="A194" s="31" t="s">
        <v>76</v>
      </c>
      <c r="B194" s="30"/>
      <c r="L194" s="4" t="s">
        <v>47</v>
      </c>
      <c r="O194" s="3" t="s">
        <v>48</v>
      </c>
      <c r="Q194" s="3" t="s">
        <v>49</v>
      </c>
      <c r="S194" s="3" t="s">
        <v>82</v>
      </c>
    </row>
    <row r="195" spans="1:19" s="3" customFormat="1" hidden="1">
      <c r="B195" s="30"/>
      <c r="L195" s="5" t="s">
        <v>50</v>
      </c>
      <c r="O195" s="5">
        <v>66</v>
      </c>
      <c r="Q195" s="5">
        <v>10</v>
      </c>
      <c r="S195" s="3" t="s">
        <v>83</v>
      </c>
    </row>
    <row r="196" spans="1:19" s="3" customFormat="1" hidden="1">
      <c r="A196" s="3" t="s">
        <v>13</v>
      </c>
      <c r="B196" s="30"/>
      <c r="D196" s="1">
        <v>48</v>
      </c>
      <c r="E196" s="32" t="s">
        <v>1</v>
      </c>
      <c r="L196" s="5" t="s">
        <v>38</v>
      </c>
      <c r="O196" s="5">
        <v>85</v>
      </c>
      <c r="Q196" s="5">
        <v>8</v>
      </c>
      <c r="S196" s="3" t="s">
        <v>84</v>
      </c>
    </row>
    <row r="197" spans="1:19" s="3" customFormat="1" hidden="1">
      <c r="A197" s="3" t="s">
        <v>19</v>
      </c>
      <c r="B197" s="30"/>
      <c r="D197" s="1">
        <f>I199*(I200+1)*I201</f>
        <v>2.6875000000000003E-5</v>
      </c>
      <c r="E197" s="32" t="s">
        <v>17</v>
      </c>
      <c r="H197" s="32" t="s">
        <v>20</v>
      </c>
      <c r="I197" s="32">
        <v>240</v>
      </c>
      <c r="J197" s="32" t="s">
        <v>1</v>
      </c>
      <c r="Q197" s="5">
        <v>4</v>
      </c>
    </row>
    <row r="198" spans="1:19" s="3" customFormat="1" hidden="1">
      <c r="A198" s="3" t="s">
        <v>12</v>
      </c>
      <c r="B198" s="30"/>
      <c r="D198" s="1">
        <v>2048</v>
      </c>
      <c r="E198" s="32" t="s">
        <v>4</v>
      </c>
      <c r="H198" s="32" t="s">
        <v>18</v>
      </c>
      <c r="I198" s="32">
        <v>10</v>
      </c>
      <c r="J198" s="32"/>
      <c r="Q198" s="5">
        <v>3</v>
      </c>
    </row>
    <row r="199" spans="1:19" s="3" customFormat="1" hidden="1">
      <c r="A199" s="3" t="s">
        <v>2</v>
      </c>
      <c r="B199" s="30"/>
      <c r="D199" s="30">
        <f>L7</f>
        <v>2000</v>
      </c>
      <c r="E199" s="3" t="s">
        <v>4</v>
      </c>
      <c r="F199" s="3" t="s">
        <v>22</v>
      </c>
      <c r="H199" s="32" t="s">
        <v>14</v>
      </c>
      <c r="I199" s="32">
        <v>10</v>
      </c>
      <c r="J199" s="32"/>
      <c r="Q199" s="5">
        <v>2</v>
      </c>
    </row>
    <row r="200" spans="1:19" s="3" customFormat="1" hidden="1">
      <c r="A200" s="3" t="s">
        <v>3</v>
      </c>
      <c r="B200" s="30"/>
      <c r="D200" s="30">
        <f>L8</f>
        <v>2048</v>
      </c>
      <c r="E200" s="3" t="s">
        <v>4</v>
      </c>
      <c r="F200" s="3" t="s">
        <v>22</v>
      </c>
      <c r="H200" s="32" t="s">
        <v>15</v>
      </c>
      <c r="I200" s="32">
        <v>128</v>
      </c>
      <c r="J200" s="32"/>
    </row>
    <row r="201" spans="1:19" s="3" customFormat="1" hidden="1">
      <c r="A201" s="3" t="s">
        <v>5</v>
      </c>
      <c r="B201" s="30"/>
      <c r="D201" s="1">
        <v>16</v>
      </c>
      <c r="H201" s="32" t="s">
        <v>16</v>
      </c>
      <c r="I201" s="32">
        <f>10/(I197*2*1000000)</f>
        <v>2.0833333333333335E-8</v>
      </c>
      <c r="J201" s="32" t="s">
        <v>21</v>
      </c>
    </row>
    <row r="202" spans="1:19" s="3" customFormat="1" hidden="1">
      <c r="A202" s="3" t="s">
        <v>26</v>
      </c>
      <c r="B202" s="30"/>
      <c r="D202" s="1">
        <f>(((D198/D201)+1)*D200)/(D196*1000000)</f>
        <v>5.5040000000000002E-3</v>
      </c>
      <c r="E202" s="33" t="s">
        <v>77</v>
      </c>
      <c r="H202" s="32" t="s">
        <v>79</v>
      </c>
      <c r="I202" s="53">
        <v>1.0000000000000001E-5</v>
      </c>
      <c r="J202" s="32" t="s">
        <v>77</v>
      </c>
    </row>
    <row r="203" spans="1:19" s="3" customFormat="1" hidden="1">
      <c r="A203" s="3" t="s">
        <v>0</v>
      </c>
      <c r="B203" s="30"/>
      <c r="D203" s="30">
        <f>F18</f>
        <v>85</v>
      </c>
      <c r="E203" s="3" t="s">
        <v>1</v>
      </c>
      <c r="F203" s="3" t="s">
        <v>22</v>
      </c>
      <c r="H203" s="46" t="s">
        <v>61</v>
      </c>
    </row>
    <row r="204" spans="1:19" s="3" customFormat="1" hidden="1">
      <c r="A204" s="3" t="s">
        <v>6</v>
      </c>
      <c r="B204" s="30"/>
      <c r="D204" s="30">
        <f>F20</f>
        <v>8</v>
      </c>
      <c r="E204" s="3" t="s">
        <v>7</v>
      </c>
      <c r="F204" s="3" t="s">
        <v>22</v>
      </c>
      <c r="H204" s="32"/>
      <c r="I204" s="32"/>
      <c r="J204" s="32"/>
    </row>
    <row r="205" spans="1:19" s="3" customFormat="1" ht="15.75" hidden="1" thickBot="1">
      <c r="A205" s="3" t="s">
        <v>9</v>
      </c>
      <c r="B205" s="30"/>
      <c r="D205" s="30">
        <f>F19</f>
        <v>10</v>
      </c>
      <c r="E205" s="3" t="s">
        <v>10</v>
      </c>
      <c r="F205" s="3" t="s">
        <v>22</v>
      </c>
      <c r="H205" s="32" t="s">
        <v>53</v>
      </c>
      <c r="I205" s="32">
        <f>D199*D200</f>
        <v>4096000</v>
      </c>
      <c r="J205" s="32" t="s">
        <v>4</v>
      </c>
    </row>
    <row r="206" spans="1:19" s="3" customFormat="1" hidden="1">
      <c r="A206" s="31" t="s">
        <v>8</v>
      </c>
      <c r="B206" s="30"/>
      <c r="D206" s="34">
        <f>ROUNDDOWN((D203*1000000)/(((D199/D205)+D204)*D200),1)</f>
        <v>199.5</v>
      </c>
      <c r="E206" s="35" t="s">
        <v>11</v>
      </c>
      <c r="F206" s="3" t="s">
        <v>24</v>
      </c>
      <c r="H206" s="32" t="s">
        <v>89</v>
      </c>
      <c r="I206" s="32">
        <f>MIN(E30,D207)</f>
        <v>180</v>
      </c>
      <c r="J206" s="32" t="s">
        <v>51</v>
      </c>
    </row>
    <row r="207" spans="1:19" s="3" customFormat="1" ht="15.75" hidden="1" thickBot="1">
      <c r="A207" s="36" t="s">
        <v>86</v>
      </c>
      <c r="B207" s="30"/>
      <c r="D207" s="37">
        <f>ROUNDDOWN((1/(D202+D197+I202)),1)</f>
        <v>180.4</v>
      </c>
      <c r="E207" s="38" t="s">
        <v>11</v>
      </c>
      <c r="H207" s="32" t="s">
        <v>54</v>
      </c>
      <c r="I207" s="32">
        <f>D206</f>
        <v>199.5</v>
      </c>
      <c r="J207" s="32" t="s">
        <v>51</v>
      </c>
      <c r="K207" s="32"/>
    </row>
    <row r="208" spans="1:19" s="3" customFormat="1" hidden="1">
      <c r="A208" s="31" t="s">
        <v>87</v>
      </c>
      <c r="B208" s="39"/>
      <c r="C208" s="40"/>
      <c r="H208" s="32" t="s">
        <v>56</v>
      </c>
      <c r="I208" s="32">
        <f>IF((I206-I207)*I205&lt;0,0,(I206-I207)*D200)</f>
        <v>0</v>
      </c>
      <c r="J208" s="32" t="s">
        <v>67</v>
      </c>
      <c r="K208" s="32">
        <f>IF((I206-I207)*I205&lt;0,0,(I206-I207)*I205)</f>
        <v>0</v>
      </c>
      <c r="L208" s="32" t="s">
        <v>57</v>
      </c>
    </row>
    <row r="209" spans="1:12" s="3" customFormat="1" hidden="1">
      <c r="A209" s="3" t="s">
        <v>23</v>
      </c>
      <c r="B209" s="41"/>
      <c r="C209" s="42"/>
      <c r="H209" s="32" t="s">
        <v>59</v>
      </c>
      <c r="I209" s="52" t="str">
        <f>IF(I208&gt;0,(I212*1024*1024)/(I208*I213*128),"-")</f>
        <v>-</v>
      </c>
      <c r="J209" s="32" t="s">
        <v>58</v>
      </c>
      <c r="K209" s="47" t="str">
        <f>IF(K208&gt;0,I204/K208,"-")</f>
        <v>-</v>
      </c>
      <c r="L209" s="32" t="s">
        <v>58</v>
      </c>
    </row>
    <row r="210" spans="1:12" s="3" customFormat="1" hidden="1">
      <c r="A210" s="3" t="s">
        <v>25</v>
      </c>
      <c r="B210" s="30"/>
      <c r="H210" s="32" t="s">
        <v>60</v>
      </c>
      <c r="I210" s="48" t="str">
        <f>IF(I208&gt;0,I209*I206,"-")</f>
        <v>-</v>
      </c>
      <c r="J210" s="32" t="s">
        <v>55</v>
      </c>
    </row>
    <row r="211" spans="1:12" s="3" customFormat="1" hidden="1">
      <c r="B211" s="30"/>
      <c r="H211" s="32"/>
      <c r="I211" s="32"/>
      <c r="J211" s="32"/>
    </row>
    <row r="212" spans="1:12" s="3" customFormat="1" hidden="1">
      <c r="B212" s="3" t="s">
        <v>62</v>
      </c>
      <c r="C212" s="3">
        <f>(D199*D200)/(1024*1024)</f>
        <v>3.90625</v>
      </c>
      <c r="G212" s="32" t="s">
        <v>63</v>
      </c>
      <c r="I212" s="32">
        <v>2048</v>
      </c>
      <c r="J212" s="32" t="s">
        <v>64</v>
      </c>
    </row>
    <row r="213" spans="1:12" s="3" customFormat="1" hidden="1">
      <c r="B213" s="30"/>
      <c r="G213" s="32" t="s">
        <v>65</v>
      </c>
      <c r="I213" s="32">
        <f>ROUNDUP((D199*10)/128,0)</f>
        <v>157</v>
      </c>
    </row>
    <row r="214" spans="1:12" s="3" customFormat="1" hidden="1">
      <c r="B214" s="30"/>
      <c r="G214" s="32" t="s">
        <v>66</v>
      </c>
      <c r="I214" s="32">
        <f>(I212*1024*1024)/(I213*128*D200)</f>
        <v>52.178343949044589</v>
      </c>
      <c r="J214" s="32" t="s">
        <v>55</v>
      </c>
    </row>
    <row r="215" spans="1:12" s="3" customFormat="1" hidden="1">
      <c r="B215" s="30"/>
    </row>
    <row r="216" spans="1:12" s="3" customFormat="1" hidden="1">
      <c r="B216" s="30"/>
      <c r="F216" s="32" t="s">
        <v>88</v>
      </c>
      <c r="H216" s="32"/>
      <c r="I216" s="32" t="str">
        <f>IF(K208&gt;0,D207,"n.a.")</f>
        <v>n.a.</v>
      </c>
    </row>
    <row r="217" spans="1:12" s="3" customFormat="1">
      <c r="B217" s="30"/>
    </row>
  </sheetData>
  <sheetProtection password="A3A9" sheet="1" objects="1" scenarios="1" selectLockedCells="1"/>
  <mergeCells count="6">
    <mergeCell ref="B26:B33"/>
    <mergeCell ref="S31:T31"/>
    <mergeCell ref="B5:B12"/>
    <mergeCell ref="B16:B21"/>
    <mergeCell ref="S30:T30"/>
    <mergeCell ref="N25:O25"/>
  </mergeCells>
  <conditionalFormatting sqref="D207">
    <cfRule type="cellIs" dxfId="1" priority="2" operator="lessThan">
      <formula>$D$206</formula>
    </cfRule>
  </conditionalFormatting>
  <conditionalFormatting sqref="D206">
    <cfRule type="cellIs" dxfId="0" priority="1" operator="lessThan">
      <formula>$D$207</formula>
    </cfRule>
  </conditionalFormatting>
  <dataValidations count="3">
    <dataValidation type="list" allowBlank="1" showInputMessage="1" showErrorMessage="1" sqref="F18">
      <formula1>$O$195:$O$196</formula1>
    </dataValidation>
    <dataValidation type="list" allowBlank="1" showInputMessage="1" showErrorMessage="1" sqref="F19">
      <formula1>$Q$195:$Q$199</formula1>
    </dataValidation>
    <dataValidation type="list" allowBlank="1" showInputMessage="1" showErrorMessage="1" sqref="F4">
      <formula1>$S$195:$S$196</formula1>
    </dataValidation>
  </dataValidation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T212"/>
  <sheetViews>
    <sheetView tabSelected="1" topLeftCell="B1" workbookViewId="0">
      <selection activeCell="K8" sqref="K8"/>
    </sheetView>
  </sheetViews>
  <sheetFormatPr defaultColWidth="8.85546875" defaultRowHeight="15"/>
  <cols>
    <col min="1" max="1" width="7.7109375" style="27" customWidth="1"/>
    <col min="2" max="2" width="12" style="26" bestFit="1" customWidth="1"/>
    <col min="3" max="3" width="9" style="27" bestFit="1" customWidth="1"/>
    <col min="4" max="4" width="12.140625" style="27" bestFit="1" customWidth="1"/>
    <col min="5" max="5" width="10.7109375" style="27" customWidth="1"/>
    <col min="6" max="6" width="11" style="27" bestFit="1" customWidth="1"/>
    <col min="7" max="7" width="7.42578125" style="27" customWidth="1"/>
    <col min="8" max="8" width="8.85546875" style="27"/>
    <col min="9" max="9" width="15.140625" style="27" customWidth="1"/>
    <col min="10" max="13" width="8.85546875" style="27"/>
    <col min="14" max="14" width="10.28515625" style="27" customWidth="1"/>
    <col min="15" max="16" width="8.85546875" style="27"/>
    <col min="17" max="17" width="9.42578125" style="27" customWidth="1"/>
    <col min="18" max="18" width="10.7109375" style="27" customWidth="1"/>
    <col min="19" max="16384" width="8.85546875" style="27"/>
  </cols>
  <sheetData>
    <row r="1" spans="2:18" s="7" customFormat="1">
      <c r="B1" s="6"/>
    </row>
    <row r="2" spans="2:18" s="7" customFormat="1" ht="23.25">
      <c r="B2" s="54" t="s">
        <v>85</v>
      </c>
      <c r="C2" s="8"/>
      <c r="D2" s="8"/>
      <c r="E2" s="8"/>
      <c r="F2" s="8"/>
      <c r="G2" s="9"/>
      <c r="H2" s="77"/>
      <c r="I2" s="9" t="s">
        <v>52</v>
      </c>
      <c r="J2" s="9"/>
      <c r="K2" s="9"/>
      <c r="L2" s="10">
        <v>41366</v>
      </c>
      <c r="M2" s="9" t="s">
        <v>115</v>
      </c>
      <c r="N2" s="9"/>
      <c r="O2" s="11" t="s">
        <v>27</v>
      </c>
      <c r="P2" s="9"/>
      <c r="Q2" s="51"/>
      <c r="R2" s="9"/>
    </row>
    <row r="3" spans="2:18" s="7" customFormat="1" ht="15.7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2:18" s="7" customFormat="1" ht="18.75">
      <c r="B4" s="13"/>
      <c r="C4" s="13"/>
      <c r="D4" s="14" t="s">
        <v>98</v>
      </c>
      <c r="E4" s="13"/>
      <c r="F4" s="89" t="s">
        <v>83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2:18" s="7" customFormat="1" ht="18.75">
      <c r="B5" s="85" t="s">
        <v>28</v>
      </c>
      <c r="C5" s="13"/>
      <c r="D5" s="14" t="s">
        <v>29</v>
      </c>
      <c r="E5" s="15"/>
      <c r="F5" s="15"/>
      <c r="G5" s="15"/>
      <c r="H5" s="15"/>
      <c r="I5" s="14" t="s">
        <v>30</v>
      </c>
      <c r="J5" s="14"/>
      <c r="K5" s="13"/>
      <c r="L5" s="13"/>
      <c r="M5" s="13"/>
      <c r="N5" s="13"/>
      <c r="O5" s="13"/>
      <c r="P5" s="13"/>
      <c r="Q5" s="13"/>
      <c r="R5" s="13"/>
    </row>
    <row r="6" spans="2:18" s="7" customFormat="1" ht="15.75">
      <c r="B6" s="85"/>
      <c r="C6" s="13"/>
      <c r="D6" s="13"/>
      <c r="E6" s="13"/>
      <c r="F6" s="13"/>
      <c r="G6" s="13"/>
      <c r="H6" s="13"/>
      <c r="I6" s="13"/>
      <c r="J6" s="13"/>
      <c r="K6" s="16" t="s">
        <v>73</v>
      </c>
      <c r="L6" s="16" t="s">
        <v>31</v>
      </c>
      <c r="M6" s="13"/>
      <c r="N6" s="13"/>
      <c r="O6" s="13"/>
      <c r="P6" s="13"/>
      <c r="Q6" s="13"/>
      <c r="R6" s="13"/>
    </row>
    <row r="7" spans="2:18" s="7" customFormat="1" ht="15.75">
      <c r="B7" s="85"/>
      <c r="C7" s="13"/>
      <c r="D7" s="13" t="s">
        <v>32</v>
      </c>
      <c r="E7" s="13"/>
      <c r="F7" s="17">
        <v>2048</v>
      </c>
      <c r="G7" s="13" t="s">
        <v>4</v>
      </c>
      <c r="H7" s="13"/>
      <c r="I7" s="13" t="s">
        <v>33</v>
      </c>
      <c r="J7" s="13"/>
      <c r="K7" s="2">
        <v>2048</v>
      </c>
      <c r="L7" s="18">
        <f>MIN(F7,IF(F19=10,ROUNDDOWN(K7/80,0)*80,K7))</f>
        <v>2048</v>
      </c>
      <c r="M7" s="13" t="s">
        <v>4</v>
      </c>
      <c r="N7" s="13"/>
      <c r="O7" s="13"/>
      <c r="P7" s="13"/>
      <c r="Q7" s="13"/>
      <c r="R7" s="13"/>
    </row>
    <row r="8" spans="2:18" s="7" customFormat="1" ht="15.75">
      <c r="B8" s="85"/>
      <c r="C8" s="13"/>
      <c r="D8" s="13" t="s">
        <v>34</v>
      </c>
      <c r="E8" s="13"/>
      <c r="F8" s="17">
        <f>IF(F4="Q4A180",2048,1088)</f>
        <v>2048</v>
      </c>
      <c r="G8" s="13" t="s">
        <v>35</v>
      </c>
      <c r="H8" s="13"/>
      <c r="I8" s="13" t="s">
        <v>36</v>
      </c>
      <c r="J8" s="13"/>
      <c r="K8" s="2">
        <v>2048</v>
      </c>
      <c r="L8" s="18">
        <f>MIN(K8,F8)</f>
        <v>2048</v>
      </c>
      <c r="M8" s="13" t="s">
        <v>4</v>
      </c>
      <c r="N8" s="13"/>
      <c r="O8" s="13"/>
      <c r="P8" s="13"/>
      <c r="Q8" s="13"/>
      <c r="R8" s="13"/>
    </row>
    <row r="9" spans="2:18" s="7" customFormat="1" ht="15.75">
      <c r="B9" s="85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2:18" s="7" customFormat="1" ht="15.75">
      <c r="B10" s="85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2:18" s="7" customFormat="1" ht="15.75">
      <c r="B11" s="8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2:18" s="7" customFormat="1" ht="15.75">
      <c r="B12" s="85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2:18" s="7" customFormat="1" ht="15.7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2:18" s="7" customFormat="1" ht="15.7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2:18" s="7" customFormat="1" ht="15.7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2:18" s="7" customFormat="1" ht="18.75">
      <c r="B16" s="85" t="s">
        <v>39</v>
      </c>
      <c r="C16" s="13"/>
      <c r="D16" s="14" t="s">
        <v>110</v>
      </c>
      <c r="E16" s="14"/>
      <c r="F16" s="14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2:20" s="7" customFormat="1" ht="15.75">
      <c r="B17" s="85"/>
      <c r="C17" s="13"/>
      <c r="D17" s="13"/>
      <c r="E17" s="13"/>
      <c r="F17" s="16" t="s">
        <v>73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2:20" s="7" customFormat="1" ht="15.75">
      <c r="B18" s="85"/>
      <c r="C18" s="13"/>
      <c r="D18" s="13" t="s">
        <v>120</v>
      </c>
      <c r="E18" s="13"/>
      <c r="F18" s="80">
        <v>2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2:20" s="7" customFormat="1" ht="15.75">
      <c r="B19" s="85"/>
      <c r="C19" s="13"/>
      <c r="D19" s="13" t="s">
        <v>111</v>
      </c>
      <c r="E19" s="13"/>
      <c r="F19" s="2">
        <v>5</v>
      </c>
      <c r="G19" s="13" t="s">
        <v>114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2:20" s="7" customFormat="1" ht="15.75">
      <c r="B20" s="85"/>
      <c r="C20" s="13"/>
      <c r="D20" s="13" t="s">
        <v>124</v>
      </c>
      <c r="E20" s="13"/>
      <c r="F20" s="2">
        <v>10</v>
      </c>
      <c r="G20" s="13" t="s">
        <v>125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2:20" s="7" customFormat="1" ht="15.75">
      <c r="B21" s="85"/>
      <c r="C21" s="13"/>
      <c r="D21" s="13"/>
      <c r="E21" s="13"/>
      <c r="F21" s="13"/>
      <c r="G21" s="13"/>
      <c r="H21" s="13"/>
      <c r="I21" s="13"/>
      <c r="J21" s="13"/>
      <c r="K21" s="13"/>
      <c r="L21" s="13" t="s">
        <v>75</v>
      </c>
      <c r="M21" s="13"/>
      <c r="N21" s="13"/>
      <c r="O21" s="13"/>
      <c r="P21" s="13"/>
      <c r="Q21" s="13"/>
      <c r="R21" s="13"/>
    </row>
    <row r="22" spans="2:20" s="7" customFormat="1" ht="15.7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2:20" s="7" customFormat="1" ht="15.7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2:20" s="7" customFormat="1" ht="15.7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2:20" s="7" customFormat="1" ht="28.5">
      <c r="B25" s="13"/>
      <c r="C25" s="13"/>
      <c r="D25" s="67" t="s">
        <v>93</v>
      </c>
      <c r="E25" s="67"/>
      <c r="F25" s="61"/>
      <c r="G25" s="61"/>
      <c r="H25" s="67"/>
      <c r="I25" s="79" t="s">
        <v>105</v>
      </c>
      <c r="J25" s="67"/>
      <c r="K25" s="67"/>
      <c r="L25" s="60"/>
      <c r="M25" s="67"/>
      <c r="N25" s="88" t="s">
        <v>94</v>
      </c>
      <c r="O25" s="88"/>
      <c r="P25" s="67"/>
      <c r="Q25" s="60"/>
      <c r="R25" s="60"/>
    </row>
    <row r="26" spans="2:20" s="7" customFormat="1" ht="18.75" customHeight="1">
      <c r="B26" s="85" t="s">
        <v>97</v>
      </c>
      <c r="C26" s="13"/>
      <c r="D26" s="65" t="s">
        <v>104</v>
      </c>
      <c r="E26" s="66"/>
      <c r="F26" s="60"/>
      <c r="G26" s="60"/>
      <c r="H26" s="60"/>
      <c r="I26" s="61"/>
      <c r="J26" s="61"/>
      <c r="K26" s="60"/>
      <c r="L26" s="60"/>
      <c r="M26" s="60"/>
      <c r="N26" s="60"/>
      <c r="O26" s="60"/>
      <c r="P26" s="60"/>
      <c r="Q26" s="60"/>
      <c r="R26" s="60"/>
    </row>
    <row r="27" spans="2:20" s="7" customFormat="1" ht="17.100000000000001" customHeight="1">
      <c r="B27" s="85"/>
      <c r="C27" s="13"/>
      <c r="D27" s="2">
        <v>120</v>
      </c>
      <c r="E27" s="69" t="s">
        <v>51</v>
      </c>
      <c r="G27" s="60"/>
      <c r="H27" s="60"/>
      <c r="I27" s="61"/>
      <c r="J27" s="61"/>
      <c r="K27" s="60"/>
      <c r="L27" s="60"/>
      <c r="M27" s="60"/>
      <c r="N27" s="60"/>
      <c r="O27" s="60"/>
      <c r="P27" s="60"/>
      <c r="Q27" s="60"/>
      <c r="R27" s="60"/>
    </row>
    <row r="28" spans="2:20" s="7" customFormat="1" ht="17.100000000000001" customHeight="1">
      <c r="B28" s="85"/>
      <c r="C28" s="13"/>
    </row>
    <row r="29" spans="2:20" s="7" customFormat="1" ht="17.100000000000001" customHeight="1">
      <c r="B29" s="85"/>
      <c r="C29" s="13"/>
      <c r="D29" s="17" t="s">
        <v>92</v>
      </c>
      <c r="H29" s="74" t="s">
        <v>101</v>
      </c>
      <c r="I29" s="65"/>
      <c r="J29" s="76" t="str">
        <f>I204</f>
        <v>-</v>
      </c>
      <c r="K29" s="75" t="s">
        <v>100</v>
      </c>
      <c r="N29" s="17" t="s">
        <v>95</v>
      </c>
      <c r="O29" s="62"/>
      <c r="P29" s="13"/>
      <c r="Q29" s="13"/>
      <c r="R29" s="64"/>
    </row>
    <row r="30" spans="2:20" s="7" customFormat="1" ht="18" customHeight="1">
      <c r="B30" s="85"/>
      <c r="C30" s="13"/>
      <c r="D30" s="17" t="s">
        <v>91</v>
      </c>
      <c r="E30" s="72">
        <f>MIN(D27,E31)</f>
        <v>120</v>
      </c>
      <c r="F30" s="17" t="s">
        <v>51</v>
      </c>
      <c r="H30" s="17" t="s">
        <v>106</v>
      </c>
      <c r="J30" s="70" t="str">
        <f>I205</f>
        <v>-</v>
      </c>
      <c r="K30" s="58" t="s">
        <v>55</v>
      </c>
      <c r="N30" s="58" t="s">
        <v>96</v>
      </c>
      <c r="O30" s="72">
        <f>MIN(D201,D202,E30)</f>
        <v>120</v>
      </c>
      <c r="P30" s="17" t="s">
        <v>51</v>
      </c>
      <c r="S30" s="87"/>
      <c r="T30" s="87"/>
    </row>
    <row r="31" spans="2:20" s="7" customFormat="1" ht="18" customHeight="1">
      <c r="B31" s="85"/>
      <c r="C31" s="13"/>
      <c r="D31" s="17" t="s">
        <v>90</v>
      </c>
      <c r="E31" s="17">
        <f>D202</f>
        <v>180.4</v>
      </c>
      <c r="F31" s="17" t="s">
        <v>51</v>
      </c>
      <c r="H31" s="73" t="s">
        <v>99</v>
      </c>
      <c r="J31" s="71">
        <f>L7*L8/(1024*1024)</f>
        <v>4</v>
      </c>
      <c r="K31" s="63" t="s">
        <v>37</v>
      </c>
      <c r="L31" s="57"/>
      <c r="M31" s="13"/>
      <c r="O31" s="13"/>
      <c r="Q31" s="78"/>
      <c r="S31" s="86"/>
      <c r="T31" s="86"/>
    </row>
    <row r="32" spans="2:20" s="7" customFormat="1" ht="18" customHeight="1">
      <c r="B32" s="85"/>
      <c r="C32" s="13"/>
      <c r="D32" s="13"/>
      <c r="E32" s="57"/>
      <c r="M32" s="13"/>
      <c r="O32" s="13"/>
      <c r="P32" s="13"/>
      <c r="Q32" s="78"/>
      <c r="R32" s="59"/>
      <c r="S32" s="78"/>
      <c r="T32" s="78"/>
    </row>
    <row r="33" spans="2:20" s="7" customFormat="1" ht="16.5" customHeight="1">
      <c r="B33" s="85"/>
      <c r="C33" s="13"/>
      <c r="D33" s="13"/>
      <c r="E33" s="57"/>
      <c r="L33" s="56"/>
      <c r="M33" s="13"/>
      <c r="O33" s="13"/>
      <c r="P33" s="13"/>
      <c r="Q33" s="78"/>
      <c r="R33" s="59"/>
      <c r="S33" s="78"/>
      <c r="T33" s="78"/>
    </row>
    <row r="34" spans="2:20" s="7" customFormat="1" ht="15.75">
      <c r="B34" s="12"/>
      <c r="C34" s="12"/>
      <c r="D34" s="12"/>
      <c r="E34" s="12"/>
      <c r="F34" s="12"/>
      <c r="G34" s="12"/>
      <c r="H34" s="12"/>
      <c r="K34" s="12"/>
      <c r="L34" s="12"/>
      <c r="M34" s="12"/>
      <c r="N34" s="12"/>
      <c r="O34" s="12"/>
      <c r="P34" s="49"/>
      <c r="R34" s="49"/>
    </row>
    <row r="35" spans="2:20" s="7" customFormat="1" ht="15" customHeight="1">
      <c r="B35" s="20"/>
      <c r="C35" s="21"/>
      <c r="D35" s="21"/>
      <c r="E35" s="21"/>
      <c r="F35" s="22"/>
      <c r="G35" s="21"/>
      <c r="H35" s="21"/>
      <c r="I35" s="21"/>
      <c r="J35" s="21"/>
      <c r="K35" s="21"/>
      <c r="L35" s="23"/>
      <c r="M35" s="21"/>
      <c r="N35" s="21"/>
      <c r="O35" s="24"/>
      <c r="P35" s="21"/>
      <c r="Q35" s="25"/>
      <c r="R35" s="21"/>
    </row>
    <row r="36" spans="2:20" s="7" customFormat="1">
      <c r="B36" s="6"/>
    </row>
    <row r="37" spans="2:20" s="7" customFormat="1">
      <c r="B37" s="50" t="s">
        <v>68</v>
      </c>
    </row>
    <row r="38" spans="2:20" s="7" customFormat="1">
      <c r="B38" s="6"/>
    </row>
    <row r="39" spans="2:20" s="7" customFormat="1" ht="3" customHeight="1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2:20" s="7" customFormat="1">
      <c r="B40" s="6"/>
    </row>
    <row r="41" spans="2:20" s="7" customFormat="1">
      <c r="B41" s="6"/>
    </row>
    <row r="42" spans="2:20" s="7" customFormat="1">
      <c r="B42" s="6"/>
    </row>
    <row r="43" spans="2:20" s="7" customFormat="1">
      <c r="B43" s="6"/>
    </row>
    <row r="44" spans="2:20" s="7" customFormat="1">
      <c r="B44" s="6"/>
    </row>
    <row r="45" spans="2:20" s="7" customFormat="1">
      <c r="B45" s="6"/>
    </row>
    <row r="46" spans="2:20" s="7" customFormat="1">
      <c r="B46" s="6"/>
    </row>
    <row r="47" spans="2:20" s="7" customFormat="1">
      <c r="B47" s="6"/>
    </row>
    <row r="48" spans="2:20" s="7" customFormat="1">
      <c r="B48" s="6"/>
    </row>
    <row r="49" spans="2:2" s="7" customFormat="1">
      <c r="B49" s="6"/>
    </row>
    <row r="50" spans="2:2" s="7" customFormat="1">
      <c r="B50" s="6"/>
    </row>
    <row r="51" spans="2:2" s="7" customFormat="1">
      <c r="B51" s="6"/>
    </row>
    <row r="52" spans="2:2" s="7" customFormat="1">
      <c r="B52" s="6"/>
    </row>
    <row r="53" spans="2:2" s="7" customFormat="1">
      <c r="B53" s="6"/>
    </row>
    <row r="54" spans="2:2" s="7" customFormat="1">
      <c r="B54" s="6"/>
    </row>
    <row r="55" spans="2:2" s="7" customFormat="1">
      <c r="B55" s="6"/>
    </row>
    <row r="56" spans="2:2" s="7" customFormat="1">
      <c r="B56" s="6"/>
    </row>
    <row r="57" spans="2:2" s="7" customFormat="1">
      <c r="B57" s="6"/>
    </row>
    <row r="58" spans="2:2" s="7" customFormat="1">
      <c r="B58" s="6"/>
    </row>
    <row r="59" spans="2:2" s="7" customFormat="1">
      <c r="B59" s="6"/>
    </row>
    <row r="60" spans="2:2" s="7" customFormat="1">
      <c r="B60" s="6"/>
    </row>
    <row r="61" spans="2:2" s="7" customFormat="1">
      <c r="B61" s="6"/>
    </row>
    <row r="62" spans="2:2" s="7" customFormat="1">
      <c r="B62" s="6"/>
    </row>
    <row r="63" spans="2:2" s="7" customFormat="1">
      <c r="B63" s="6"/>
    </row>
    <row r="64" spans="2:2" s="7" customFormat="1">
      <c r="B64" s="6"/>
    </row>
    <row r="65" spans="2:2" s="7" customFormat="1">
      <c r="B65" s="6"/>
    </row>
    <row r="66" spans="2:2" s="7" customFormat="1">
      <c r="B66" s="6"/>
    </row>
    <row r="67" spans="2:2" s="7" customFormat="1">
      <c r="B67" s="6"/>
    </row>
    <row r="68" spans="2:2" s="7" customFormat="1">
      <c r="B68" s="6"/>
    </row>
    <row r="69" spans="2:2" s="7" customFormat="1">
      <c r="B69" s="6"/>
    </row>
    <row r="70" spans="2:2" s="7" customFormat="1">
      <c r="B70" s="6"/>
    </row>
    <row r="71" spans="2:2" s="7" customFormat="1">
      <c r="B71" s="6"/>
    </row>
    <row r="72" spans="2:2" s="7" customFormat="1">
      <c r="B72" s="6"/>
    </row>
    <row r="73" spans="2:2" s="7" customFormat="1">
      <c r="B73" s="6"/>
    </row>
    <row r="74" spans="2:2" s="7" customFormat="1">
      <c r="B74" s="6"/>
    </row>
    <row r="75" spans="2:2" s="7" customFormat="1">
      <c r="B75" s="6"/>
    </row>
    <row r="76" spans="2:2" s="7" customFormat="1">
      <c r="B76" s="6"/>
    </row>
    <row r="77" spans="2:2" s="7" customFormat="1">
      <c r="B77" s="6"/>
    </row>
    <row r="78" spans="2:2" s="7" customFormat="1">
      <c r="B78" s="6"/>
    </row>
    <row r="79" spans="2:2" s="7" customFormat="1">
      <c r="B79" s="6"/>
    </row>
    <row r="80" spans="2:2" s="7" customFormat="1">
      <c r="B80" s="6"/>
    </row>
    <row r="81" spans="2:2" s="7" customFormat="1">
      <c r="B81" s="6"/>
    </row>
    <row r="82" spans="2:2" s="7" customFormat="1">
      <c r="B82" s="6"/>
    </row>
    <row r="83" spans="2:2" s="7" customFormat="1">
      <c r="B83" s="6"/>
    </row>
    <row r="84" spans="2:2" s="7" customFormat="1">
      <c r="B84" s="6"/>
    </row>
    <row r="85" spans="2:2" s="7" customFormat="1">
      <c r="B85" s="6"/>
    </row>
    <row r="86" spans="2:2" s="7" customFormat="1">
      <c r="B86" s="6"/>
    </row>
    <row r="87" spans="2:2" s="7" customFormat="1">
      <c r="B87" s="6"/>
    </row>
    <row r="88" spans="2:2" s="7" customFormat="1">
      <c r="B88" s="6"/>
    </row>
    <row r="89" spans="2:2" s="7" customFormat="1">
      <c r="B89" s="6"/>
    </row>
    <row r="90" spans="2:2" s="7" customFormat="1">
      <c r="B90" s="6"/>
    </row>
    <row r="91" spans="2:2" s="7" customFormat="1">
      <c r="B91" s="6"/>
    </row>
    <row r="92" spans="2:2" s="7" customFormat="1">
      <c r="B92" s="6"/>
    </row>
    <row r="93" spans="2:2" s="7" customFormat="1">
      <c r="B93" s="6"/>
    </row>
    <row r="94" spans="2:2" s="7" customFormat="1">
      <c r="B94" s="6"/>
    </row>
    <row r="95" spans="2:2" s="7" customFormat="1">
      <c r="B95" s="6"/>
    </row>
    <row r="96" spans="2:2" s="7" customFormat="1">
      <c r="B96" s="6"/>
    </row>
    <row r="97" spans="2:2" s="7" customFormat="1">
      <c r="B97" s="6"/>
    </row>
    <row r="98" spans="2:2" s="7" customFormat="1">
      <c r="B98" s="6"/>
    </row>
    <row r="99" spans="2:2" s="7" customFormat="1">
      <c r="B99" s="6"/>
    </row>
    <row r="100" spans="2:2" s="7" customFormat="1">
      <c r="B100" s="6"/>
    </row>
    <row r="101" spans="2:2" s="7" customFormat="1">
      <c r="B101" s="6"/>
    </row>
    <row r="102" spans="2:2" s="7" customFormat="1">
      <c r="B102" s="6"/>
    </row>
    <row r="103" spans="2:2" s="7" customFormat="1">
      <c r="B103" s="6"/>
    </row>
    <row r="104" spans="2:2" s="7" customFormat="1">
      <c r="B104" s="6"/>
    </row>
    <row r="105" spans="2:2" s="7" customFormat="1">
      <c r="B105" s="6"/>
    </row>
    <row r="106" spans="2:2" s="7" customFormat="1">
      <c r="B106" s="6"/>
    </row>
    <row r="107" spans="2:2" s="7" customFormat="1">
      <c r="B107" s="6"/>
    </row>
    <row r="108" spans="2:2" s="7" customFormat="1">
      <c r="B108" s="6"/>
    </row>
    <row r="109" spans="2:2" s="7" customFormat="1">
      <c r="B109" s="6"/>
    </row>
    <row r="110" spans="2:2" s="7" customFormat="1">
      <c r="B110" s="6"/>
    </row>
    <row r="111" spans="2:2" s="7" customFormat="1">
      <c r="B111" s="6"/>
    </row>
    <row r="112" spans="2:2" s="7" customFormat="1">
      <c r="B112" s="6"/>
    </row>
    <row r="113" spans="2:2" s="7" customFormat="1">
      <c r="B113" s="6"/>
    </row>
    <row r="114" spans="2:2" s="7" customFormat="1">
      <c r="B114" s="6"/>
    </row>
    <row r="115" spans="2:2" s="7" customFormat="1">
      <c r="B115" s="6"/>
    </row>
    <row r="116" spans="2:2" s="7" customFormat="1">
      <c r="B116" s="6"/>
    </row>
    <row r="117" spans="2:2" s="7" customFormat="1">
      <c r="B117" s="6"/>
    </row>
    <row r="118" spans="2:2" s="7" customFormat="1">
      <c r="B118" s="6"/>
    </row>
    <row r="119" spans="2:2" s="7" customFormat="1">
      <c r="B119" s="6"/>
    </row>
    <row r="120" spans="2:2" s="7" customFormat="1">
      <c r="B120" s="6"/>
    </row>
    <row r="121" spans="2:2" s="7" customFormat="1">
      <c r="B121" s="6"/>
    </row>
    <row r="122" spans="2:2" s="7" customFormat="1">
      <c r="B122" s="6"/>
    </row>
    <row r="123" spans="2:2" s="7" customFormat="1">
      <c r="B123" s="6"/>
    </row>
    <row r="124" spans="2:2" s="7" customFormat="1">
      <c r="B124" s="6"/>
    </row>
    <row r="125" spans="2:2" s="7" customFormat="1">
      <c r="B125" s="6"/>
    </row>
    <row r="126" spans="2:2" s="7" customFormat="1">
      <c r="B126" s="6"/>
    </row>
    <row r="127" spans="2:2" s="7" customFormat="1">
      <c r="B127" s="6"/>
    </row>
    <row r="128" spans="2:2" s="7" customFormat="1">
      <c r="B128" s="6"/>
    </row>
    <row r="129" spans="2:2" s="7" customFormat="1">
      <c r="B129" s="6"/>
    </row>
    <row r="130" spans="2:2" s="7" customFormat="1">
      <c r="B130" s="6"/>
    </row>
    <row r="131" spans="2:2" s="7" customFormat="1">
      <c r="B131" s="6"/>
    </row>
    <row r="132" spans="2:2" s="7" customFormat="1">
      <c r="B132" s="6"/>
    </row>
    <row r="133" spans="2:2" s="7" customFormat="1">
      <c r="B133" s="6"/>
    </row>
    <row r="134" spans="2:2" s="7" customFormat="1">
      <c r="B134" s="6"/>
    </row>
    <row r="135" spans="2:2" s="7" customFormat="1">
      <c r="B135" s="6"/>
    </row>
    <row r="136" spans="2:2" s="7" customFormat="1">
      <c r="B136" s="6"/>
    </row>
    <row r="137" spans="2:2" s="7" customFormat="1">
      <c r="B137" s="6"/>
    </row>
    <row r="138" spans="2:2" s="7" customFormat="1">
      <c r="B138" s="6"/>
    </row>
    <row r="139" spans="2:2" s="7" customFormat="1">
      <c r="B139" s="6"/>
    </row>
    <row r="140" spans="2:2" s="7" customFormat="1">
      <c r="B140" s="6"/>
    </row>
    <row r="141" spans="2:2" s="7" customFormat="1">
      <c r="B141" s="6"/>
    </row>
    <row r="142" spans="2:2" s="7" customFormat="1">
      <c r="B142" s="6"/>
    </row>
    <row r="143" spans="2:2" s="7" customFormat="1">
      <c r="B143" s="6"/>
    </row>
    <row r="144" spans="2:2" s="7" customFormat="1">
      <c r="B144" s="6"/>
    </row>
    <row r="145" spans="2:2" s="7" customFormat="1">
      <c r="B145" s="6"/>
    </row>
    <row r="146" spans="2:2" s="7" customFormat="1">
      <c r="B146" s="6"/>
    </row>
    <row r="147" spans="2:2" s="7" customFormat="1">
      <c r="B147" s="6"/>
    </row>
    <row r="148" spans="2:2" s="7" customFormat="1">
      <c r="B148" s="6"/>
    </row>
    <row r="149" spans="2:2" s="7" customFormat="1">
      <c r="B149" s="6"/>
    </row>
    <row r="150" spans="2:2" s="7" customFormat="1">
      <c r="B150" s="6"/>
    </row>
    <row r="151" spans="2:2" s="7" customFormat="1">
      <c r="B151" s="6"/>
    </row>
    <row r="152" spans="2:2" s="7" customFormat="1">
      <c r="B152" s="6"/>
    </row>
    <row r="153" spans="2:2" s="7" customFormat="1">
      <c r="B153" s="6"/>
    </row>
    <row r="154" spans="2:2" s="7" customFormat="1">
      <c r="B154" s="6"/>
    </row>
    <row r="155" spans="2:2" s="7" customFormat="1">
      <c r="B155" s="6"/>
    </row>
    <row r="156" spans="2:2" s="7" customFormat="1">
      <c r="B156" s="6"/>
    </row>
    <row r="157" spans="2:2" s="7" customFormat="1">
      <c r="B157" s="6"/>
    </row>
    <row r="158" spans="2:2" s="7" customFormat="1">
      <c r="B158" s="6"/>
    </row>
    <row r="159" spans="2:2" s="7" customFormat="1">
      <c r="B159" s="6"/>
    </row>
    <row r="160" spans="2:2" s="7" customFormat="1">
      <c r="B160" s="6"/>
    </row>
    <row r="161" spans="2:18" s="7" customFormat="1">
      <c r="B161" s="6"/>
    </row>
    <row r="162" spans="2:18" s="7" customFormat="1">
      <c r="B162" s="6"/>
    </row>
    <row r="163" spans="2:18" s="7" customFormat="1">
      <c r="B163" s="6"/>
    </row>
    <row r="164" spans="2:18" s="7" customFormat="1">
      <c r="B164" s="6"/>
    </row>
    <row r="165" spans="2:18" s="7" customFormat="1">
      <c r="B165" s="6"/>
    </row>
    <row r="166" spans="2:18" s="7" customFormat="1">
      <c r="B166" s="6"/>
    </row>
    <row r="167" spans="2:18" s="7" customFormat="1">
      <c r="B167" s="6"/>
    </row>
    <row r="168" spans="2:18" s="7" customFormat="1">
      <c r="B168" s="6"/>
    </row>
    <row r="169" spans="2:18" s="7" customFormat="1">
      <c r="B169" s="6"/>
    </row>
    <row r="170" spans="2:18" s="7" customFormat="1">
      <c r="B170" s="6"/>
    </row>
    <row r="171" spans="2:18" s="7" customFormat="1">
      <c r="B171" s="6"/>
    </row>
    <row r="172" spans="2:18" s="7" customFormat="1">
      <c r="B172" s="6"/>
    </row>
    <row r="173" spans="2:18" s="7" customFormat="1">
      <c r="B173" s="6"/>
    </row>
    <row r="174" spans="2:18" s="7" customFormat="1">
      <c r="B174" s="6"/>
    </row>
    <row r="175" spans="2:18" s="7" customFormat="1" hidden="1">
      <c r="B175" s="6"/>
    </row>
    <row r="176" spans="2:18" s="7" customFormat="1" ht="3" hidden="1" customHeight="1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</row>
    <row r="177" spans="1:19" s="7" customFormat="1" hidden="1">
      <c r="B177" s="6"/>
    </row>
    <row r="178" spans="1:19" s="44" customFormat="1" hidden="1">
      <c r="B178" s="43" t="s">
        <v>71</v>
      </c>
      <c r="D178" s="45" t="s">
        <v>45</v>
      </c>
      <c r="E178" s="45"/>
      <c r="F178" s="45" t="s">
        <v>78</v>
      </c>
      <c r="G178" s="45" t="s">
        <v>46</v>
      </c>
    </row>
    <row r="179" spans="1:19" s="44" customFormat="1" hidden="1">
      <c r="B179" s="43"/>
      <c r="D179" s="45" t="s">
        <v>80</v>
      </c>
      <c r="F179" s="44" t="s">
        <v>78</v>
      </c>
      <c r="G179" s="44" t="s">
        <v>81</v>
      </c>
    </row>
    <row r="180" spans="1:19" s="44" customFormat="1" hidden="1">
      <c r="B180" s="43"/>
      <c r="D180" s="44" t="s">
        <v>102</v>
      </c>
      <c r="F180" s="44" t="s">
        <v>78</v>
      </c>
      <c r="G180" s="44" t="s">
        <v>103</v>
      </c>
    </row>
    <row r="181" spans="1:19" s="44" customFormat="1" hidden="1">
      <c r="B181" s="43"/>
      <c r="D181" s="44" t="s">
        <v>107</v>
      </c>
      <c r="F181" s="44" t="s">
        <v>108</v>
      </c>
      <c r="G181" s="44" t="s">
        <v>109</v>
      </c>
    </row>
    <row r="182" spans="1:19" s="44" customFormat="1" hidden="1">
      <c r="B182" s="43"/>
      <c r="D182" s="44" t="s">
        <v>126</v>
      </c>
      <c r="F182" s="44" t="s">
        <v>78</v>
      </c>
      <c r="G182" s="44" t="s">
        <v>127</v>
      </c>
    </row>
    <row r="183" spans="1:19" s="7" customFormat="1" hidden="1">
      <c r="B183" s="6"/>
    </row>
    <row r="184" spans="1:19" hidden="1"/>
    <row r="185" spans="1:19" hidden="1"/>
    <row r="186" spans="1:19" s="29" customFormat="1" hidden="1">
      <c r="B186" s="28"/>
    </row>
    <row r="187" spans="1:19" s="3" customFormat="1" hidden="1">
      <c r="B187" s="30"/>
    </row>
    <row r="188" spans="1:19" s="3" customFormat="1" ht="15.75" hidden="1">
      <c r="A188" s="31" t="s">
        <v>76</v>
      </c>
      <c r="B188" s="30"/>
      <c r="L188" s="4" t="s">
        <v>123</v>
      </c>
      <c r="O188" s="3" t="s">
        <v>112</v>
      </c>
      <c r="Q188" s="3" t="s">
        <v>113</v>
      </c>
      <c r="S188" s="3" t="s">
        <v>82</v>
      </c>
    </row>
    <row r="189" spans="1:19" s="3" customFormat="1" hidden="1">
      <c r="B189" s="30"/>
      <c r="L189" s="5">
        <v>8</v>
      </c>
      <c r="O189" s="5">
        <v>1</v>
      </c>
      <c r="Q189" s="81">
        <v>6.25</v>
      </c>
      <c r="S189" s="5" t="s">
        <v>83</v>
      </c>
    </row>
    <row r="190" spans="1:19" s="3" customFormat="1" hidden="1">
      <c r="A190" s="3" t="s">
        <v>13</v>
      </c>
      <c r="B190" s="30"/>
      <c r="D190" s="1">
        <v>48</v>
      </c>
      <c r="E190" s="32" t="s">
        <v>1</v>
      </c>
      <c r="L190" s="5">
        <v>10</v>
      </c>
      <c r="O190" s="5">
        <v>2</v>
      </c>
      <c r="Q190" s="81">
        <v>5</v>
      </c>
      <c r="S190" s="5" t="s">
        <v>84</v>
      </c>
    </row>
    <row r="191" spans="1:19" s="3" customFormat="1" hidden="1">
      <c r="A191" s="3" t="s">
        <v>19</v>
      </c>
      <c r="B191" s="30"/>
      <c r="D191" s="1">
        <f>I193*(I194+1)*I195</f>
        <v>2.6875000000000003E-5</v>
      </c>
      <c r="E191" s="32" t="s">
        <v>17</v>
      </c>
      <c r="H191" s="32" t="s">
        <v>20</v>
      </c>
      <c r="I191" s="32">
        <v>240</v>
      </c>
      <c r="J191" s="32" t="s">
        <v>1</v>
      </c>
      <c r="L191" s="5"/>
      <c r="Q191" s="81">
        <v>3.125</v>
      </c>
    </row>
    <row r="192" spans="1:19" s="3" customFormat="1" hidden="1">
      <c r="A192" s="3" t="s">
        <v>12</v>
      </c>
      <c r="B192" s="30"/>
      <c r="D192" s="1">
        <v>2048</v>
      </c>
      <c r="E192" s="32" t="s">
        <v>4</v>
      </c>
      <c r="H192" s="32" t="s">
        <v>18</v>
      </c>
      <c r="I192" s="32">
        <v>10</v>
      </c>
      <c r="J192" s="32"/>
      <c r="Q192" s="81">
        <v>2.5</v>
      </c>
    </row>
    <row r="193" spans="1:17" s="3" customFormat="1" hidden="1">
      <c r="A193" s="3" t="s">
        <v>2</v>
      </c>
      <c r="B193" s="30"/>
      <c r="D193" s="30">
        <f>L7</f>
        <v>2048</v>
      </c>
      <c r="E193" s="3" t="s">
        <v>4</v>
      </c>
      <c r="F193" s="3" t="s">
        <v>22</v>
      </c>
      <c r="H193" s="32" t="s">
        <v>14</v>
      </c>
      <c r="I193" s="32">
        <v>10</v>
      </c>
      <c r="J193" s="32"/>
      <c r="Q193" s="81">
        <v>1.25</v>
      </c>
    </row>
    <row r="194" spans="1:17" s="3" customFormat="1" hidden="1">
      <c r="A194" s="3" t="s">
        <v>3</v>
      </c>
      <c r="B194" s="30"/>
      <c r="D194" s="30">
        <f>L8</f>
        <v>2048</v>
      </c>
      <c r="E194" s="3" t="s">
        <v>4</v>
      </c>
      <c r="F194" s="3" t="s">
        <v>22</v>
      </c>
      <c r="H194" s="32" t="s">
        <v>15</v>
      </c>
      <c r="I194" s="32">
        <v>128</v>
      </c>
      <c r="J194" s="32"/>
    </row>
    <row r="195" spans="1:17" s="3" customFormat="1" hidden="1">
      <c r="A195" s="3" t="s">
        <v>5</v>
      </c>
      <c r="B195" s="30"/>
      <c r="D195" s="1">
        <v>16</v>
      </c>
      <c r="H195" s="32" t="s">
        <v>16</v>
      </c>
      <c r="I195" s="32">
        <f>10/(I191*2*1000000)</f>
        <v>2.0833333333333335E-8</v>
      </c>
      <c r="J195" s="32" t="s">
        <v>21</v>
      </c>
    </row>
    <row r="196" spans="1:17" s="3" customFormat="1" hidden="1">
      <c r="A196" s="3" t="s">
        <v>26</v>
      </c>
      <c r="B196" s="30"/>
      <c r="D196" s="1">
        <f>(((D192/D195)+1)*D194)/(D190*1000000)</f>
        <v>5.5040000000000002E-3</v>
      </c>
      <c r="E196" s="33" t="s">
        <v>77</v>
      </c>
      <c r="H196" s="32" t="s">
        <v>79</v>
      </c>
      <c r="I196" s="53">
        <v>1.0000000000000001E-5</v>
      </c>
      <c r="J196" s="32" t="s">
        <v>77</v>
      </c>
    </row>
    <row r="197" spans="1:17" s="3" customFormat="1" hidden="1">
      <c r="A197" s="3" t="s">
        <v>116</v>
      </c>
      <c r="B197" s="30"/>
      <c r="D197" s="30">
        <f>F18*F19</f>
        <v>10</v>
      </c>
      <c r="E197" s="3" t="s">
        <v>114</v>
      </c>
      <c r="F197" s="3" t="s">
        <v>22</v>
      </c>
      <c r="H197" s="46" t="s">
        <v>61</v>
      </c>
    </row>
    <row r="198" spans="1:17" s="3" customFormat="1" hidden="1">
      <c r="A198" s="3" t="s">
        <v>119</v>
      </c>
      <c r="B198" s="1"/>
      <c r="C198" s="32"/>
      <c r="D198" s="83">
        <f>(8/11)*100%</f>
        <v>0.72727272727272729</v>
      </c>
      <c r="E198" s="84" t="s">
        <v>118</v>
      </c>
      <c r="F198" s="3" t="s">
        <v>22</v>
      </c>
      <c r="H198" s="32"/>
      <c r="I198" s="32"/>
      <c r="J198" s="32"/>
    </row>
    <row r="199" spans="1:17" s="3" customFormat="1" hidden="1">
      <c r="A199" s="3" t="s">
        <v>117</v>
      </c>
      <c r="B199" s="30"/>
      <c r="D199" s="30">
        <f>D198*D197*1000000000</f>
        <v>7272727272.727273</v>
      </c>
      <c r="E199" s="3" t="s">
        <v>121</v>
      </c>
      <c r="F199" s="3" t="s">
        <v>22</v>
      </c>
    </row>
    <row r="200" spans="1:17" s="3" customFormat="1" ht="15.75" hidden="1" thickBot="1">
      <c r="A200" s="3" t="s">
        <v>122</v>
      </c>
      <c r="B200" s="30"/>
      <c r="D200" s="30">
        <f>F20</f>
        <v>10</v>
      </c>
      <c r="E200" s="3" t="s">
        <v>125</v>
      </c>
      <c r="H200" s="32" t="s">
        <v>53</v>
      </c>
      <c r="I200" s="32">
        <f>D193*D194</f>
        <v>4194304</v>
      </c>
      <c r="J200" s="32" t="s">
        <v>4</v>
      </c>
    </row>
    <row r="201" spans="1:17" s="3" customFormat="1" hidden="1">
      <c r="A201" s="31" t="s">
        <v>8</v>
      </c>
      <c r="B201" s="30"/>
      <c r="D201" s="82">
        <f>(D197*1000000000)/((21/16)*D193*D194*D200)</f>
        <v>181.65225074404762</v>
      </c>
      <c r="E201" s="35" t="s">
        <v>11</v>
      </c>
      <c r="F201" s="3" t="s">
        <v>24</v>
      </c>
      <c r="H201" s="32" t="s">
        <v>89</v>
      </c>
      <c r="I201" s="32">
        <f>MIN(E30,D202)</f>
        <v>120</v>
      </c>
      <c r="J201" s="32" t="s">
        <v>51</v>
      </c>
    </row>
    <row r="202" spans="1:17" s="3" customFormat="1" ht="15.75" hidden="1" thickBot="1">
      <c r="A202" s="36" t="s">
        <v>86</v>
      </c>
      <c r="B202" s="30"/>
      <c r="D202" s="37">
        <f>ROUNDDOWN((1/(D196+D191+I196)),1)</f>
        <v>180.4</v>
      </c>
      <c r="E202" s="38" t="s">
        <v>11</v>
      </c>
      <c r="H202" s="32" t="s">
        <v>54</v>
      </c>
      <c r="I202" s="32">
        <f>D201</f>
        <v>181.65225074404762</v>
      </c>
      <c r="J202" s="32" t="s">
        <v>51</v>
      </c>
      <c r="K202" s="32"/>
    </row>
    <row r="203" spans="1:17" s="3" customFormat="1" hidden="1">
      <c r="A203" s="31" t="s">
        <v>87</v>
      </c>
      <c r="B203" s="39"/>
      <c r="C203" s="40"/>
      <c r="H203" s="32" t="s">
        <v>56</v>
      </c>
      <c r="I203" s="32">
        <f>IF((I201-I202)*I200&lt;0,0,(I201-I202)*D194)</f>
        <v>0</v>
      </c>
      <c r="J203" s="32" t="s">
        <v>67</v>
      </c>
      <c r="K203" s="32">
        <f>IF((I201-I202)*I200&lt;0,0,(I201-I202)*I200)</f>
        <v>0</v>
      </c>
      <c r="L203" s="32" t="s">
        <v>57</v>
      </c>
    </row>
    <row r="204" spans="1:17" s="3" customFormat="1" hidden="1">
      <c r="A204" s="3" t="s">
        <v>23</v>
      </c>
      <c r="B204" s="41"/>
      <c r="C204" s="42"/>
      <c r="H204" s="32" t="s">
        <v>59</v>
      </c>
      <c r="I204" s="52" t="str">
        <f>IF(I203&gt;0,(I207*1024*1024)/(I203*I208*128),"-")</f>
        <v>-</v>
      </c>
      <c r="J204" s="32" t="s">
        <v>58</v>
      </c>
      <c r="K204" s="47" t="str">
        <f>IF(K203&gt;0,I198/K203,"-")</f>
        <v>-</v>
      </c>
      <c r="L204" s="32" t="s">
        <v>58</v>
      </c>
    </row>
    <row r="205" spans="1:17" s="3" customFormat="1" hidden="1">
      <c r="A205" s="3" t="s">
        <v>25</v>
      </c>
      <c r="B205" s="30"/>
      <c r="H205" s="32" t="s">
        <v>60</v>
      </c>
      <c r="I205" s="48" t="str">
        <f>IF(I203&gt;0,I204*I201,"-")</f>
        <v>-</v>
      </c>
      <c r="J205" s="32" t="s">
        <v>55</v>
      </c>
    </row>
    <row r="206" spans="1:17" s="3" customFormat="1" hidden="1">
      <c r="B206" s="30"/>
      <c r="H206" s="32"/>
      <c r="I206" s="32"/>
      <c r="J206" s="32"/>
    </row>
    <row r="207" spans="1:17" s="3" customFormat="1" hidden="1">
      <c r="B207" s="3" t="s">
        <v>62</v>
      </c>
      <c r="C207" s="3">
        <f>(D193*D194)/(1024*1024)</f>
        <v>4</v>
      </c>
      <c r="G207" s="32" t="s">
        <v>63</v>
      </c>
      <c r="I207" s="32">
        <v>2048</v>
      </c>
      <c r="J207" s="32" t="s">
        <v>64</v>
      </c>
    </row>
    <row r="208" spans="1:17" s="3" customFormat="1" hidden="1">
      <c r="B208" s="30"/>
      <c r="D208" s="27"/>
      <c r="G208" s="32" t="s">
        <v>65</v>
      </c>
      <c r="I208" s="32">
        <f>ROUNDUP((D193*10)/128,0)</f>
        <v>160</v>
      </c>
    </row>
    <row r="209" spans="2:10" s="3" customFormat="1" hidden="1">
      <c r="B209" s="30"/>
      <c r="G209" s="32" t="s">
        <v>66</v>
      </c>
      <c r="I209" s="32">
        <f>(I207*1024*1024)/(I208*128*D194)</f>
        <v>51.2</v>
      </c>
      <c r="J209" s="32" t="s">
        <v>55</v>
      </c>
    </row>
    <row r="210" spans="2:10" s="3" customFormat="1" hidden="1">
      <c r="B210" s="30"/>
    </row>
    <row r="211" spans="2:10" s="3" customFormat="1" hidden="1">
      <c r="B211" s="30"/>
      <c r="F211" s="32" t="s">
        <v>88</v>
      </c>
      <c r="H211" s="32"/>
      <c r="I211" s="32" t="str">
        <f>IF(K203&gt;0,D202,"n.a.")</f>
        <v>n.a.</v>
      </c>
    </row>
    <row r="212" spans="2:10" s="3" customFormat="1">
      <c r="B212" s="30"/>
    </row>
  </sheetData>
  <sheetProtection password="A3A9" sheet="1" objects="1" scenarios="1" selectLockedCells="1"/>
  <mergeCells count="6">
    <mergeCell ref="B5:B12"/>
    <mergeCell ref="B16:B21"/>
    <mergeCell ref="N25:O25"/>
    <mergeCell ref="B26:B33"/>
    <mergeCell ref="S30:T30"/>
    <mergeCell ref="S31:T31"/>
  </mergeCells>
  <conditionalFormatting sqref="D202">
    <cfRule type="cellIs" dxfId="3" priority="2" operator="lessThan">
      <formula>$D$201</formula>
    </cfRule>
  </conditionalFormatting>
  <conditionalFormatting sqref="D201">
    <cfRule type="cellIs" dxfId="2" priority="1" operator="lessThan">
      <formula>$D$202</formula>
    </cfRule>
  </conditionalFormatting>
  <dataValidations count="4">
    <dataValidation type="list" allowBlank="1" showInputMessage="1" showErrorMessage="1" sqref="F4">
      <formula1>$S$189:$S$190</formula1>
    </dataValidation>
    <dataValidation type="list" allowBlank="1" showInputMessage="1" showErrorMessage="1" sqref="F19">
      <formula1>$Q$189:$Q$193</formula1>
    </dataValidation>
    <dataValidation type="list" allowBlank="1" showInputMessage="1" showErrorMessage="1" sqref="F18">
      <formula1>$O$189:$O$190</formula1>
    </dataValidation>
    <dataValidation type="list" allowBlank="1" showInputMessage="1" showErrorMessage="1" sqref="F20">
      <formula1>$L$189:$L$190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Q4A180_Q2A340 CL</vt:lpstr>
      <vt:lpstr>Q4A180_Q2A340 CXP</vt:lpstr>
    </vt:vector>
  </TitlesOfParts>
  <Company>Adimec Advanced Image Systems B.V.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Machiel Raaijmakers</cp:lastModifiedBy>
  <dcterms:created xsi:type="dcterms:W3CDTF">2012-10-04T10:55:40Z</dcterms:created>
  <dcterms:modified xsi:type="dcterms:W3CDTF">2013-10-28T10:21:05Z</dcterms:modified>
</cp:coreProperties>
</file>