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10485" yWindow="15" windowWidth="9960" windowHeight="9330"/>
  </bookViews>
  <sheets>
    <sheet name="Q12A65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5" i="1"/>
  <c r="D94"/>
  <c r="L7"/>
  <c r="D77" s="1"/>
  <c r="D81"/>
  <c r="D82"/>
  <c r="D83"/>
  <c r="L8"/>
  <c r="D78" s="1"/>
  <c r="I82"/>
  <c r="D74"/>
  <c r="I79"/>
  <c r="D80" l="1"/>
  <c r="D85" s="1"/>
  <c r="F32" s="1"/>
  <c r="F31" s="1"/>
  <c r="I84" s="1"/>
  <c r="O88"/>
  <c r="D84"/>
  <c r="I91"/>
  <c r="I92" s="1"/>
  <c r="C90"/>
  <c r="I83"/>
  <c r="K32"/>
  <c r="P31" l="1"/>
  <c r="I85"/>
  <c r="K86" l="1"/>
  <c r="I86"/>
  <c r="I87" l="1"/>
  <c r="K30" s="1"/>
  <c r="K87"/>
  <c r="I88" l="1"/>
  <c r="K31" s="1"/>
</calcChain>
</file>

<file path=xl/sharedStrings.xml><?xml version="1.0" encoding="utf-8"?>
<sst xmlns="http://schemas.openxmlformats.org/spreadsheetml/2006/main" count="144" uniqueCount="114">
  <si>
    <t>IF_clk:</t>
  </si>
  <si>
    <t>MHz</t>
  </si>
  <si>
    <t>ROI width:</t>
  </si>
  <si>
    <t>ROI height:</t>
  </si>
  <si>
    <t>pixels</t>
  </si>
  <si>
    <t>sensor channels:</t>
  </si>
  <si>
    <t>LVAL gap</t>
  </si>
  <si>
    <t>clocks</t>
  </si>
  <si>
    <t>Maximum interface freq:</t>
  </si>
  <si>
    <t>Number of taps:</t>
  </si>
  <si>
    <t>tap</t>
  </si>
  <si>
    <t>Hz</t>
  </si>
  <si>
    <t>Sensor width:</t>
  </si>
  <si>
    <t>Sensor pixel clock:</t>
  </si>
  <si>
    <t>Maximum sensor freq @ 32 channels proc:</t>
  </si>
  <si>
    <t>FOT_cnt</t>
  </si>
  <si>
    <t>slot_length</t>
  </si>
  <si>
    <t>clk_per</t>
  </si>
  <si>
    <t>bitdepth</t>
  </si>
  <si>
    <t>FOT length</t>
  </si>
  <si>
    <t>sensorclock</t>
  </si>
  <si>
    <t>ns</t>
  </si>
  <si>
    <t>Helios-4: Q12 with CMV12k sensor</t>
  </si>
  <si>
    <t>*</t>
  </si>
  <si>
    <t>* possibility to adjust data</t>
  </si>
  <si>
    <t>**</t>
  </si>
  <si>
    <t>** green marked cell is speed bottleneck</t>
  </si>
  <si>
    <t>Sensor readout time:</t>
  </si>
  <si>
    <t>Approximate Calculations</t>
  </si>
  <si>
    <t>Input Field Of View</t>
  </si>
  <si>
    <t>Native</t>
  </si>
  <si>
    <t>ROI selector</t>
  </si>
  <si>
    <t>effective</t>
  </si>
  <si>
    <t># columns</t>
  </si>
  <si>
    <t># column width</t>
  </si>
  <si>
    <t># row</t>
  </si>
  <si>
    <t>pixel</t>
  </si>
  <si>
    <t># row height</t>
  </si>
  <si>
    <t>MPX</t>
  </si>
  <si>
    <t>centered</t>
  </si>
  <si>
    <t>Interface Config</t>
  </si>
  <si>
    <t>Camera Link Interface</t>
  </si>
  <si>
    <t># Clock</t>
  </si>
  <si>
    <t>Mhz</t>
  </si>
  <si>
    <t># nr. Taps</t>
  </si>
  <si>
    <t># LVAL</t>
  </si>
  <si>
    <t>Maximum Framespeed</t>
  </si>
  <si>
    <t>version 0.1</t>
  </si>
  <si>
    <t>MADI</t>
  </si>
  <si>
    <t>initial setup based on R&amp;D calculation sheet</t>
  </si>
  <si>
    <t>Choices ROI centering</t>
  </si>
  <si>
    <t>CL MHz options</t>
  </si>
  <si>
    <t>CL Taps</t>
  </si>
  <si>
    <t>any</t>
  </si>
  <si>
    <t>fps</t>
  </si>
  <si>
    <t>Q12A65/CL throughput calculator</t>
  </si>
  <si>
    <t>buffered pipeline architecture</t>
  </si>
  <si>
    <t>image</t>
  </si>
  <si>
    <t>max_in</t>
  </si>
  <si>
    <t>max_out</t>
  </si>
  <si>
    <t>images</t>
  </si>
  <si>
    <t>buff fill</t>
  </si>
  <si>
    <t>buff cap</t>
  </si>
  <si>
    <t>pixels (10bit)</t>
  </si>
  <si>
    <t>pixels/sec</t>
  </si>
  <si>
    <t>sec</t>
  </si>
  <si>
    <t>burst_time</t>
  </si>
  <si>
    <t>burst_size</t>
  </si>
  <si>
    <t>Burst mode calculation</t>
  </si>
  <si>
    <t>preliminary</t>
  </si>
  <si>
    <t>Megapixel</t>
  </si>
  <si>
    <t>Buffer density</t>
  </si>
  <si>
    <t>Mbit</t>
  </si>
  <si>
    <t>Mem words per line</t>
  </si>
  <si>
    <t>Buffer depth</t>
  </si>
  <si>
    <t>lines/sec</t>
  </si>
  <si>
    <t>OLD….</t>
  </si>
  <si>
    <t>version 0.2</t>
  </si>
  <si>
    <t>ANJA</t>
  </si>
  <si>
    <t>Update burstmode calculation (line level based burst instead of pixels (rounding difference))</t>
  </si>
  <si>
    <t>copyright Adimec B.V. 2013</t>
  </si>
  <si>
    <t>Notes:</t>
  </si>
  <si>
    <t>(1).</t>
  </si>
  <si>
    <t>ROI height scales in multiples of 4 lines</t>
  </si>
  <si>
    <t>(2).</t>
  </si>
  <si>
    <t>History:</t>
  </si>
  <si>
    <t>note (1)</t>
  </si>
  <si>
    <t>note (2)</t>
  </si>
  <si>
    <t>&lt;set&gt;</t>
  </si>
  <si>
    <t>In 10tap mode the max line width is restricted to multiples of 80 pixels</t>
  </si>
  <si>
    <t>Sensor</t>
  </si>
  <si>
    <t>buffer</t>
  </si>
  <si>
    <t>Interface</t>
  </si>
  <si>
    <t>Set aquisition speed:</t>
  </si>
  <si>
    <t>Aquisition speed:</t>
  </si>
  <si>
    <t>Set</t>
  </si>
  <si>
    <t xml:space="preserve">Maximum </t>
  </si>
  <si>
    <t>Maximum buffer period</t>
  </si>
  <si>
    <t>Max burst size</t>
  </si>
  <si>
    <t>Resolution</t>
  </si>
  <si>
    <t>seconds</t>
  </si>
  <si>
    <t>Interface speed:</t>
  </si>
  <si>
    <t>Maximum</t>
  </si>
  <si>
    <t>version 0.3</t>
  </si>
  <si>
    <t>Variable aquisition speed added</t>
  </si>
  <si>
    <t>v0.3</t>
  </si>
  <si>
    <t>version 0.4</t>
  </si>
  <si>
    <t>New formula for framespeed calculation used</t>
  </si>
  <si>
    <t>average</t>
  </si>
  <si>
    <t>margin CL</t>
  </si>
  <si>
    <t>s</t>
  </si>
  <si>
    <t>margin FOT</t>
  </si>
  <si>
    <t>FOT time</t>
  </si>
  <si>
    <t>Divider FOT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</si>
</sst>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32"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color rgb="FF008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4"/>
      <color rgb="FF008000"/>
      <name val="Calibri"/>
      <family val="2"/>
      <scheme val="minor"/>
    </font>
    <font>
      <sz val="18"/>
      <color rgb="FF008000"/>
      <name val="Calibri"/>
      <family val="2"/>
      <scheme val="minor"/>
    </font>
    <font>
      <sz val="18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4"/>
      <color rgb="FF00800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8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61">
    <xf numFmtId="0" fontId="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84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0" fontId="14" fillId="5" borderId="0" xfId="0" applyFont="1" applyFill="1" applyAlignment="1" applyProtection="1">
      <alignment vertical="center"/>
      <protection locked="0"/>
    </xf>
    <xf numFmtId="0" fontId="0" fillId="0" borderId="0" xfId="0" applyProtection="1">
      <protection hidden="1"/>
    </xf>
    <xf numFmtId="0" fontId="23" fillId="0" borderId="0" xfId="0" applyFont="1" applyProtection="1">
      <protection hidden="1"/>
    </xf>
    <xf numFmtId="0" fontId="0" fillId="9" borderId="0" xfId="0" applyFill="1" applyProtection="1">
      <protection hidden="1"/>
    </xf>
    <xf numFmtId="0" fontId="0" fillId="8" borderId="0" xfId="0" applyFill="1" applyAlignment="1" applyProtection="1">
      <alignment horizontal="center"/>
    </xf>
    <xf numFmtId="0" fontId="0" fillId="8" borderId="0" xfId="0" applyFill="1" applyProtection="1"/>
    <xf numFmtId="0" fontId="7" fillId="3" borderId="0" xfId="0" applyFont="1" applyFill="1" applyAlignment="1" applyProtection="1">
      <alignment vertical="center"/>
    </xf>
    <xf numFmtId="0" fontId="8" fillId="3" borderId="0" xfId="0" applyFont="1" applyFill="1" applyAlignment="1" applyProtection="1">
      <alignment vertical="center"/>
    </xf>
    <xf numFmtId="17" fontId="8" fillId="3" borderId="0" xfId="0" applyNumberFormat="1" applyFont="1" applyFill="1" applyAlignment="1" applyProtection="1">
      <alignment horizontal="right" vertical="center"/>
    </xf>
    <xf numFmtId="0" fontId="8" fillId="3" borderId="0" xfId="0" applyFont="1" applyFill="1" applyAlignment="1" applyProtection="1">
      <alignment horizontal="center" vertical="center"/>
    </xf>
    <xf numFmtId="0" fontId="6" fillId="2" borderId="0" xfId="0" applyFont="1" applyFill="1" applyProtection="1"/>
    <xf numFmtId="0" fontId="6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15" fillId="6" borderId="0" xfId="0" applyFont="1" applyFill="1" applyAlignment="1" applyProtection="1">
      <alignment vertical="center"/>
    </xf>
    <xf numFmtId="0" fontId="6" fillId="7" borderId="0" xfId="0" applyFont="1" applyFill="1" applyProtection="1"/>
    <xf numFmtId="0" fontId="7" fillId="7" borderId="0" xfId="0" applyFont="1" applyFill="1" applyAlignment="1" applyProtection="1">
      <alignment vertical="center"/>
    </xf>
    <xf numFmtId="0" fontId="8" fillId="7" borderId="0" xfId="0" applyFont="1" applyFill="1" applyAlignment="1" applyProtection="1">
      <alignment vertical="center"/>
    </xf>
    <xf numFmtId="0" fontId="20" fillId="7" borderId="0" xfId="0" applyFont="1" applyFill="1" applyAlignment="1" applyProtection="1">
      <alignment vertical="center"/>
    </xf>
    <xf numFmtId="17" fontId="8" fillId="7" borderId="0" xfId="0" applyNumberFormat="1" applyFont="1" applyFill="1" applyAlignment="1" applyProtection="1">
      <alignment horizontal="right" vertical="center"/>
    </xf>
    <xf numFmtId="0" fontId="8" fillId="7" borderId="0" xfId="0" applyFont="1" applyFill="1" applyAlignment="1" applyProtection="1">
      <alignment horizontal="center" vertical="center"/>
    </xf>
    <xf numFmtId="0" fontId="9" fillId="7" borderId="0" xfId="0" applyFont="1" applyFill="1" applyAlignment="1" applyProtection="1">
      <alignment vertic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5" xfId="0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2" xfId="0" applyFont="1" applyBorder="1" applyProtection="1">
      <protection hidden="1"/>
    </xf>
    <xf numFmtId="0" fontId="3" fillId="0" borderId="0" xfId="0" applyFont="1" applyProtection="1"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4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8" borderId="0" xfId="0" applyFill="1" applyAlignment="1" applyProtection="1">
      <alignment horizontal="center"/>
      <protection hidden="1"/>
    </xf>
    <xf numFmtId="0" fontId="0" fillId="8" borderId="0" xfId="0" applyFill="1" applyProtection="1">
      <protection hidden="1"/>
    </xf>
    <xf numFmtId="0" fontId="0" fillId="8" borderId="0" xfId="0" applyFill="1" applyAlignment="1" applyProtection="1">
      <alignment vertical="center"/>
      <protection hidden="1"/>
    </xf>
    <xf numFmtId="0" fontId="25" fillId="0" borderId="0" xfId="0" applyFont="1" applyProtection="1">
      <protection hidden="1"/>
    </xf>
    <xf numFmtId="165" fontId="1" fillId="0" borderId="0" xfId="0" applyNumberFormat="1" applyFont="1" applyAlignment="1" applyProtection="1">
      <alignment horizontal="right"/>
      <protection hidden="1"/>
    </xf>
    <xf numFmtId="164" fontId="1" fillId="0" borderId="0" xfId="0" applyNumberFormat="1" applyFont="1" applyAlignment="1" applyProtection="1">
      <alignment horizontal="right"/>
      <protection hidden="1"/>
    </xf>
    <xf numFmtId="0" fontId="6" fillId="2" borderId="0" xfId="0" applyFont="1" applyFill="1" applyAlignment="1" applyProtection="1">
      <alignment horizontal="center" vertical="top"/>
    </xf>
    <xf numFmtId="0" fontId="27" fillId="8" borderId="0" xfId="0" applyFont="1" applyFill="1" applyAlignment="1" applyProtection="1">
      <alignment horizontal="left"/>
    </xf>
    <xf numFmtId="0" fontId="28" fillId="3" borderId="0" xfId="0" applyFont="1" applyFill="1" applyAlignment="1" applyProtection="1">
      <alignment vertical="center"/>
    </xf>
    <xf numFmtId="166" fontId="1" fillId="0" borderId="0" xfId="0" applyNumberFormat="1" applyFont="1" applyProtection="1">
      <protection hidden="1"/>
    </xf>
    <xf numFmtId="0" fontId="0" fillId="8" borderId="0" xfId="0" quotePrefix="1" applyFill="1" applyAlignment="1" applyProtection="1">
      <alignment horizontal="left"/>
    </xf>
    <xf numFmtId="164" fontId="18" fillId="10" borderId="0" xfId="0" applyNumberFormat="1" applyFont="1" applyFill="1" applyAlignment="1" applyProtection="1">
      <alignment vertical="center"/>
    </xf>
    <xf numFmtId="0" fontId="6" fillId="10" borderId="0" xfId="0" applyFont="1" applyFill="1" applyAlignment="1" applyProtection="1">
      <alignment vertical="center"/>
    </xf>
    <xf numFmtId="0" fontId="11" fillId="10" borderId="0" xfId="0" applyFont="1" applyFill="1" applyAlignment="1" applyProtection="1">
      <alignment vertical="center"/>
    </xf>
    <xf numFmtId="2" fontId="19" fillId="10" borderId="0" xfId="0" applyNumberFormat="1" applyFont="1" applyFill="1" applyAlignment="1" applyProtection="1">
      <alignment vertical="center"/>
    </xf>
    <xf numFmtId="0" fontId="5" fillId="8" borderId="0" xfId="0" applyFont="1" applyFill="1" applyAlignment="1" applyProtection="1">
      <alignment wrapText="1"/>
    </xf>
    <xf numFmtId="0" fontId="6" fillId="2" borderId="0" xfId="0" applyFont="1" applyFill="1" applyAlignment="1" applyProtection="1">
      <alignment vertical="center" wrapText="1"/>
    </xf>
    <xf numFmtId="0" fontId="13" fillId="10" borderId="0" xfId="0" applyFont="1" applyFill="1" applyAlignment="1" applyProtection="1">
      <alignment vertical="center"/>
    </xf>
    <xf numFmtId="165" fontId="26" fillId="10" borderId="6" xfId="0" applyNumberFormat="1" applyFont="1" applyFill="1" applyBorder="1" applyAlignment="1" applyProtection="1">
      <alignment vertical="center"/>
    </xf>
    <xf numFmtId="165" fontId="26" fillId="10" borderId="7" xfId="0" applyNumberFormat="1" applyFont="1" applyFill="1" applyBorder="1" applyAlignment="1" applyProtection="1">
      <alignment vertical="center"/>
    </xf>
    <xf numFmtId="164" fontId="26" fillId="10" borderId="6" xfId="0" applyNumberFormat="1" applyFont="1" applyFill="1" applyBorder="1" applyAlignment="1" applyProtection="1">
      <alignment vertical="center"/>
    </xf>
    <xf numFmtId="164" fontId="26" fillId="10" borderId="7" xfId="0" applyNumberFormat="1" applyFont="1" applyFill="1" applyBorder="1" applyAlignment="1" applyProtection="1">
      <alignment vertical="center"/>
    </xf>
    <xf numFmtId="164" fontId="26" fillId="10" borderId="0" xfId="0" applyNumberFormat="1" applyFont="1" applyFill="1" applyBorder="1" applyAlignment="1" applyProtection="1">
      <alignment vertical="center"/>
    </xf>
    <xf numFmtId="0" fontId="24" fillId="10" borderId="0" xfId="0" applyFont="1" applyFill="1" applyAlignment="1" applyProtection="1">
      <alignment vertical="center"/>
    </xf>
    <xf numFmtId="0" fontId="17" fillId="10" borderId="0" xfId="0" applyFont="1" applyFill="1" applyAlignment="1" applyProtection="1">
      <alignment vertical="center"/>
    </xf>
    <xf numFmtId="0" fontId="29" fillId="10" borderId="0" xfId="0" applyFont="1" applyFill="1" applyAlignment="1" applyProtection="1">
      <alignment vertical="center"/>
    </xf>
    <xf numFmtId="0" fontId="29" fillId="10" borderId="0" xfId="0" applyFont="1" applyFill="1" applyAlignment="1" applyProtection="1">
      <alignment horizontal="center" vertical="center"/>
    </xf>
    <xf numFmtId="0" fontId="5" fillId="8" borderId="0" xfId="0" applyFont="1" applyFill="1" applyProtection="1"/>
    <xf numFmtId="0" fontId="30" fillId="8" borderId="0" xfId="0" applyFont="1" applyFill="1" applyProtection="1"/>
    <xf numFmtId="0" fontId="13" fillId="2" borderId="0" xfId="0" applyFont="1" applyFill="1" applyAlignment="1" applyProtection="1">
      <alignment vertical="top"/>
    </xf>
    <xf numFmtId="0" fontId="13" fillId="2" borderId="0" xfId="0" applyFont="1" applyFill="1" applyAlignment="1" applyProtection="1">
      <alignment horizontal="left"/>
    </xf>
    <xf numFmtId="0" fontId="13" fillId="2" borderId="0" xfId="0" applyFont="1" applyFill="1" applyAlignment="1" applyProtection="1">
      <alignment horizontal="left" vertical="top"/>
    </xf>
    <xf numFmtId="0" fontId="13" fillId="2" borderId="0" xfId="0" applyFont="1" applyFill="1" applyAlignment="1" applyProtection="1">
      <alignment horizontal="left" vertical="center"/>
    </xf>
    <xf numFmtId="0" fontId="13" fillId="2" borderId="0" xfId="0" applyFont="1" applyFill="1" applyProtection="1"/>
    <xf numFmtId="0" fontId="31" fillId="10" borderId="0" xfId="0" applyFont="1" applyFill="1" applyAlignment="1" applyProtection="1">
      <alignment vertical="center"/>
    </xf>
    <xf numFmtId="166" fontId="31" fillId="2" borderId="0" xfId="0" applyNumberFormat="1" applyFont="1" applyFill="1" applyAlignment="1" applyProtection="1">
      <alignment vertical="center"/>
    </xf>
    <xf numFmtId="164" fontId="31" fillId="2" borderId="0" xfId="0" applyNumberFormat="1" applyFont="1" applyFill="1" applyAlignment="1" applyProtection="1">
      <alignment vertical="center"/>
    </xf>
    <xf numFmtId="2" fontId="31" fillId="2" borderId="0" xfId="0" applyNumberFormat="1" applyFont="1" applyFill="1" applyAlignment="1" applyProtection="1">
      <alignment vertical="center"/>
    </xf>
    <xf numFmtId="0" fontId="31" fillId="2" borderId="0" xfId="0" applyFont="1" applyFill="1" applyAlignment="1" applyProtection="1">
      <alignment vertical="center"/>
    </xf>
    <xf numFmtId="0" fontId="16" fillId="2" borderId="0" xfId="0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 textRotation="90"/>
    </xf>
  </cellXfs>
  <cellStyles count="6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Normal" xfId="0" builtinId="0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28</xdr:row>
      <xdr:rowOff>104775</xdr:rowOff>
    </xdr:from>
    <xdr:to>
      <xdr:col>12</xdr:col>
      <xdr:colOff>161925</xdr:colOff>
      <xdr:row>32</xdr:row>
      <xdr:rowOff>180975</xdr:rowOff>
    </xdr:to>
    <xdr:sp macro="" textlink="">
      <xdr:nvSpPr>
        <xdr:cNvPr id="2" name="Rounded Rectangle 1"/>
        <xdr:cNvSpPr/>
      </xdr:nvSpPr>
      <xdr:spPr>
        <a:xfrm>
          <a:off x="4581525" y="5905500"/>
          <a:ext cx="3152775" cy="847725"/>
        </a:xfrm>
        <a:prstGeom prst="roundRect">
          <a:avLst/>
        </a:prstGeom>
        <a:solidFill>
          <a:srgbClr val="9BBB59">
            <a:alpha val="3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466725</xdr:colOff>
      <xdr:row>28</xdr:row>
      <xdr:rowOff>104775</xdr:rowOff>
    </xdr:from>
    <xdr:to>
      <xdr:col>17</xdr:col>
      <xdr:colOff>38100</xdr:colOff>
      <xdr:row>32</xdr:row>
      <xdr:rowOff>182850</xdr:rowOff>
    </xdr:to>
    <xdr:sp macro="" textlink="">
      <xdr:nvSpPr>
        <xdr:cNvPr id="3" name="Rounded Rectangle 2"/>
        <xdr:cNvSpPr/>
      </xdr:nvSpPr>
      <xdr:spPr>
        <a:xfrm>
          <a:off x="8039100" y="5905500"/>
          <a:ext cx="2524125" cy="849600"/>
        </a:xfrm>
        <a:prstGeom prst="roundRect">
          <a:avLst/>
        </a:prstGeom>
        <a:solidFill>
          <a:srgbClr val="9BBB59">
            <a:alpha val="3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419100</xdr:colOff>
      <xdr:row>28</xdr:row>
      <xdr:rowOff>104776</xdr:rowOff>
    </xdr:from>
    <xdr:to>
      <xdr:col>6</xdr:col>
      <xdr:colOff>333375</xdr:colOff>
      <xdr:row>32</xdr:row>
      <xdr:rowOff>182851</xdr:rowOff>
    </xdr:to>
    <xdr:sp macro="" textlink="">
      <xdr:nvSpPr>
        <xdr:cNvPr id="4" name="Rounded Rectangle 3"/>
        <xdr:cNvSpPr/>
      </xdr:nvSpPr>
      <xdr:spPr>
        <a:xfrm>
          <a:off x="1733550" y="5905501"/>
          <a:ext cx="2428875" cy="849600"/>
        </a:xfrm>
        <a:prstGeom prst="roundRect">
          <a:avLst/>
        </a:prstGeom>
        <a:solidFill>
          <a:schemeClr val="accent3">
            <a:alpha val="3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333375</xdr:colOff>
      <xdr:row>30</xdr:row>
      <xdr:rowOff>147638</xdr:rowOff>
    </xdr:from>
    <xdr:to>
      <xdr:col>7</xdr:col>
      <xdr:colOff>161925</xdr:colOff>
      <xdr:row>30</xdr:row>
      <xdr:rowOff>148576</xdr:rowOff>
    </xdr:to>
    <xdr:cxnSp macro="">
      <xdr:nvCxnSpPr>
        <xdr:cNvPr id="5" name="Elbow Connector 4"/>
        <xdr:cNvCxnSpPr>
          <a:stCxn id="4" idx="3"/>
          <a:endCxn id="2" idx="1"/>
        </xdr:cNvCxnSpPr>
      </xdr:nvCxnSpPr>
      <xdr:spPr>
        <a:xfrm flipV="1">
          <a:off x="4162425" y="6329363"/>
          <a:ext cx="419100" cy="938"/>
        </a:xfrm>
        <a:prstGeom prst="bentConnector3">
          <a:avLst>
            <a:gd name="adj1" fmla="val 50000"/>
          </a:avLst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161925</xdr:colOff>
      <xdr:row>30</xdr:row>
      <xdr:rowOff>147638</xdr:rowOff>
    </xdr:from>
    <xdr:to>
      <xdr:col>12</xdr:col>
      <xdr:colOff>466725</xdr:colOff>
      <xdr:row>30</xdr:row>
      <xdr:rowOff>148575</xdr:rowOff>
    </xdr:to>
    <xdr:cxnSp macro="">
      <xdr:nvCxnSpPr>
        <xdr:cNvPr id="6" name="Elbow Connector 5"/>
        <xdr:cNvCxnSpPr>
          <a:stCxn id="2" idx="3"/>
          <a:endCxn id="3" idx="1"/>
        </xdr:cNvCxnSpPr>
      </xdr:nvCxnSpPr>
      <xdr:spPr>
        <a:xfrm>
          <a:off x="7734300" y="6329363"/>
          <a:ext cx="304800" cy="937"/>
        </a:xfrm>
        <a:prstGeom prst="bentConnector3">
          <a:avLst>
            <a:gd name="adj1" fmla="val 50000"/>
          </a:avLst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5"/>
  <sheetViews>
    <sheetView tabSelected="1" zoomScale="70" zoomScaleNormal="70" workbookViewId="0">
      <selection activeCell="A54" sqref="A54:XFD108"/>
    </sheetView>
  </sheetViews>
  <sheetFormatPr defaultColWidth="8.85546875" defaultRowHeight="15"/>
  <cols>
    <col min="1" max="1" width="7.7109375" style="27" customWidth="1"/>
    <col min="2" max="2" width="12" style="26" bestFit="1" customWidth="1"/>
    <col min="3" max="3" width="9" style="27" bestFit="1" customWidth="1"/>
    <col min="4" max="4" width="12" style="27" bestFit="1" customWidth="1"/>
    <col min="5" max="5" width="8.85546875" style="27"/>
    <col min="6" max="6" width="11" style="27" bestFit="1" customWidth="1"/>
    <col min="7" max="7" width="8.85546875" style="27" customWidth="1"/>
    <col min="8" max="8" width="5.5703125" style="27" customWidth="1"/>
    <col min="9" max="9" width="11.140625" style="27" bestFit="1" customWidth="1"/>
    <col min="10" max="10" width="12.85546875" style="27" customWidth="1"/>
    <col min="11" max="17" width="8.85546875" style="27"/>
    <col min="18" max="18" width="9.140625" style="27" bestFit="1" customWidth="1"/>
    <col min="19" max="16384" width="8.85546875" style="27"/>
  </cols>
  <sheetData>
    <row r="1" spans="2:19" s="7" customFormat="1">
      <c r="B1" s="6"/>
    </row>
    <row r="2" spans="2:19" s="7" customFormat="1" ht="23.25">
      <c r="B2" s="8" t="s">
        <v>55</v>
      </c>
      <c r="C2" s="8"/>
      <c r="D2" s="8"/>
      <c r="E2" s="8"/>
      <c r="F2" s="8"/>
      <c r="G2" s="9"/>
      <c r="H2" s="9" t="s">
        <v>56</v>
      </c>
      <c r="I2" s="9"/>
      <c r="J2" s="9"/>
      <c r="K2" s="9"/>
      <c r="L2" s="10">
        <v>41378</v>
      </c>
      <c r="M2" s="9" t="s">
        <v>105</v>
      </c>
      <c r="N2" s="9"/>
      <c r="O2" s="11" t="s">
        <v>28</v>
      </c>
      <c r="P2" s="9"/>
      <c r="Q2" s="51" t="s">
        <v>69</v>
      </c>
      <c r="R2" s="9"/>
    </row>
    <row r="3" spans="2:19" s="7" customFormat="1" ht="15.7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2:19" s="7" customFormat="1" ht="15.7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2:19" s="7" customFormat="1" ht="18.75">
      <c r="B5" s="83" t="s">
        <v>29</v>
      </c>
      <c r="C5" s="13"/>
      <c r="D5" s="14" t="s">
        <v>30</v>
      </c>
      <c r="E5" s="15"/>
      <c r="F5" s="15"/>
      <c r="G5" s="15"/>
      <c r="H5" s="15"/>
      <c r="I5" s="14" t="s">
        <v>31</v>
      </c>
      <c r="J5" s="14"/>
      <c r="K5" s="13"/>
      <c r="L5" s="13"/>
      <c r="M5" s="13"/>
      <c r="N5" s="13"/>
      <c r="O5" s="13"/>
      <c r="P5" s="13"/>
      <c r="Q5" s="13"/>
      <c r="R5" s="13"/>
    </row>
    <row r="6" spans="2:19" s="7" customFormat="1" ht="15.75">
      <c r="B6" s="83"/>
      <c r="C6" s="13"/>
      <c r="D6" s="13"/>
      <c r="E6" s="13"/>
      <c r="F6" s="13"/>
      <c r="G6" s="13"/>
      <c r="H6" s="13"/>
      <c r="I6" s="13"/>
      <c r="J6" s="13"/>
      <c r="K6" s="16" t="s">
        <v>88</v>
      </c>
      <c r="L6" s="16" t="s">
        <v>32</v>
      </c>
      <c r="M6" s="13"/>
      <c r="N6" s="13"/>
      <c r="O6" s="13"/>
      <c r="P6" s="13"/>
      <c r="Q6" s="13"/>
      <c r="R6" s="13"/>
    </row>
    <row r="7" spans="2:19" s="7" customFormat="1" ht="15.75">
      <c r="B7" s="83"/>
      <c r="C7" s="13"/>
      <c r="D7" s="13" t="s">
        <v>33</v>
      </c>
      <c r="E7" s="13"/>
      <c r="F7" s="17">
        <v>4096</v>
      </c>
      <c r="G7" s="13" t="s">
        <v>4</v>
      </c>
      <c r="H7" s="13"/>
      <c r="I7" s="13" t="s">
        <v>34</v>
      </c>
      <c r="J7" s="13"/>
      <c r="K7" s="2">
        <v>4096</v>
      </c>
      <c r="L7" s="18">
        <f>MIN(F7,IF(F19=10,ROUNDDOWN(K7/80,0)*80,K7))</f>
        <v>4096</v>
      </c>
      <c r="M7" s="13" t="s">
        <v>4</v>
      </c>
      <c r="N7" s="13"/>
      <c r="O7" s="13"/>
      <c r="P7" s="13"/>
      <c r="Q7" s="13"/>
      <c r="R7" s="13"/>
      <c r="S7" s="7" t="s">
        <v>87</v>
      </c>
    </row>
    <row r="8" spans="2:19" s="7" customFormat="1" ht="15.75">
      <c r="B8" s="83"/>
      <c r="C8" s="13"/>
      <c r="D8" s="13" t="s">
        <v>35</v>
      </c>
      <c r="E8" s="13"/>
      <c r="F8" s="17">
        <v>3072</v>
      </c>
      <c r="G8" s="13" t="s">
        <v>36</v>
      </c>
      <c r="H8" s="13"/>
      <c r="I8" s="13" t="s">
        <v>37</v>
      </c>
      <c r="J8" s="13"/>
      <c r="K8" s="2">
        <v>3072</v>
      </c>
      <c r="L8" s="18">
        <f>MIN((K8-MOD(K8,4)),F8)</f>
        <v>3072</v>
      </c>
      <c r="M8" s="13" t="s">
        <v>4</v>
      </c>
      <c r="N8" s="13"/>
      <c r="O8" s="13"/>
      <c r="P8" s="13"/>
      <c r="Q8" s="13"/>
      <c r="R8" s="13"/>
      <c r="S8" s="7" t="s">
        <v>86</v>
      </c>
    </row>
    <row r="9" spans="2:19" s="7" customFormat="1" ht="15.75">
      <c r="B9" s="8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2:19" s="7" customFormat="1" ht="15.75">
      <c r="B10" s="8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2:19" s="7" customFormat="1" ht="15.75">
      <c r="B11" s="8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2:19" s="7" customFormat="1" ht="15.75">
      <c r="B12" s="8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2:19" s="7" customFormat="1" ht="15.7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2:19" s="7" customFormat="1" ht="15.7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2:19" s="7" customFormat="1" ht="15.7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2:19" s="7" customFormat="1" ht="18.75">
      <c r="B16" s="83" t="s">
        <v>40</v>
      </c>
      <c r="C16" s="13"/>
      <c r="D16" s="14" t="s">
        <v>41</v>
      </c>
      <c r="E16" s="14"/>
      <c r="F16" s="14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2:19" s="7" customFormat="1" ht="15.75">
      <c r="B17" s="83"/>
      <c r="C17" s="13"/>
      <c r="D17" s="13"/>
      <c r="E17" s="13"/>
      <c r="F17" s="16" t="s">
        <v>88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2:19" s="7" customFormat="1" ht="15.75">
      <c r="B18" s="83"/>
      <c r="C18" s="13"/>
      <c r="D18" s="13" t="s">
        <v>42</v>
      </c>
      <c r="E18" s="13"/>
      <c r="F18" s="2">
        <v>85</v>
      </c>
      <c r="G18" s="13" t="s">
        <v>43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2:19" s="7" customFormat="1" ht="15.75">
      <c r="B19" s="83"/>
      <c r="C19" s="13"/>
      <c r="D19" s="13" t="s">
        <v>44</v>
      </c>
      <c r="E19" s="13"/>
      <c r="F19" s="2">
        <v>8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7" t="s">
        <v>87</v>
      </c>
    </row>
    <row r="20" spans="2:19" s="7" customFormat="1" ht="15.75">
      <c r="B20" s="83"/>
      <c r="C20" s="13"/>
      <c r="D20" s="13" t="s">
        <v>45</v>
      </c>
      <c r="E20" s="13"/>
      <c r="F20" s="2">
        <v>2</v>
      </c>
      <c r="G20" s="13" t="s">
        <v>7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2:19" s="7" customFormat="1" ht="15.75">
      <c r="B21" s="8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2:19" s="7" customFormat="1" ht="15.7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2:19" s="7" customFormat="1" ht="15.75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2:19" s="7" customFormat="1" ht="15.75">
      <c r="B24" s="13"/>
      <c r="C24" s="13"/>
      <c r="D24" s="13"/>
      <c r="E24" s="13"/>
      <c r="F24" s="13"/>
      <c r="G24" s="13"/>
      <c r="H24" s="13"/>
      <c r="I24" s="13"/>
      <c r="J24" s="13"/>
      <c r="K24" s="55"/>
      <c r="L24" s="55"/>
      <c r="M24" s="55"/>
      <c r="N24" s="55"/>
      <c r="O24" s="55"/>
      <c r="P24" s="55"/>
      <c r="Q24" s="55"/>
      <c r="R24" s="55"/>
    </row>
    <row r="25" spans="2:19" s="7" customFormat="1" ht="21" customHeight="1">
      <c r="B25" s="83" t="s">
        <v>46</v>
      </c>
      <c r="C25" s="13"/>
      <c r="E25" s="68" t="s">
        <v>90</v>
      </c>
      <c r="F25" s="66"/>
      <c r="G25" s="66"/>
      <c r="H25" s="66"/>
      <c r="J25" s="69" t="s">
        <v>91</v>
      </c>
      <c r="K25" s="66"/>
      <c r="L25" s="66"/>
      <c r="M25" s="66"/>
      <c r="O25" s="68" t="s">
        <v>92</v>
      </c>
      <c r="P25" s="66"/>
      <c r="Q25" s="66"/>
      <c r="R25" s="66"/>
    </row>
    <row r="26" spans="2:19" s="7" customFormat="1" ht="15" customHeight="1">
      <c r="B26" s="83"/>
      <c r="C26" s="13"/>
      <c r="E26" s="13"/>
      <c r="F26" s="13"/>
      <c r="G26" s="15"/>
      <c r="H26" s="15"/>
      <c r="I26" s="13"/>
      <c r="J26" s="13"/>
      <c r="K26" s="55"/>
      <c r="L26" s="55"/>
      <c r="M26" s="55"/>
      <c r="N26" s="56"/>
      <c r="O26" s="56"/>
      <c r="P26" s="55"/>
      <c r="Q26" s="55"/>
      <c r="R26" s="55"/>
    </row>
    <row r="27" spans="2:19" s="7" customFormat="1" ht="15" customHeight="1">
      <c r="B27" s="83"/>
      <c r="C27" s="13"/>
      <c r="D27" s="70" t="s">
        <v>93</v>
      </c>
      <c r="E27" s="54"/>
      <c r="F27" s="55"/>
      <c r="G27" s="56"/>
      <c r="H27" s="56"/>
      <c r="I27" s="55"/>
      <c r="J27" s="13"/>
      <c r="K27" s="54"/>
      <c r="L27" s="54"/>
      <c r="M27" s="55"/>
      <c r="N27" s="56"/>
      <c r="O27" s="56"/>
      <c r="P27" s="55"/>
      <c r="Q27" s="60"/>
      <c r="R27" s="61"/>
    </row>
    <row r="28" spans="2:19" s="7" customFormat="1" ht="15" customHeight="1">
      <c r="B28" s="83"/>
      <c r="C28" s="13"/>
      <c r="D28" s="2">
        <v>150</v>
      </c>
      <c r="E28" s="71" t="s">
        <v>54</v>
      </c>
      <c r="F28" s="55"/>
      <c r="H28" s="57"/>
      <c r="I28" s="55"/>
      <c r="J28" s="13"/>
      <c r="K28" s="54"/>
      <c r="L28" s="54"/>
      <c r="M28" s="55"/>
      <c r="N28" s="57"/>
      <c r="O28" s="57"/>
      <c r="P28" s="55"/>
      <c r="Q28" s="60"/>
      <c r="R28" s="62"/>
    </row>
    <row r="29" spans="2:19" s="7" customFormat="1" ht="15" customHeight="1">
      <c r="B29" s="83"/>
      <c r="C29" s="13"/>
      <c r="D29" s="54"/>
      <c r="E29" s="54"/>
      <c r="F29" s="55"/>
      <c r="G29" s="57"/>
      <c r="H29" s="57"/>
      <c r="I29" s="55"/>
      <c r="J29" s="13"/>
      <c r="K29" s="54"/>
      <c r="L29" s="54"/>
      <c r="M29" s="55"/>
      <c r="N29" s="57"/>
      <c r="O29" s="57"/>
      <c r="P29" s="55"/>
      <c r="Q29" s="60"/>
      <c r="R29" s="63"/>
    </row>
    <row r="30" spans="2:19" s="7" customFormat="1" ht="15" customHeight="1">
      <c r="B30" s="83"/>
      <c r="C30" s="13"/>
      <c r="D30" s="17" t="s">
        <v>94</v>
      </c>
      <c r="E30" s="54"/>
      <c r="F30" s="55"/>
      <c r="G30" s="57"/>
      <c r="I30" s="72" t="s">
        <v>97</v>
      </c>
      <c r="J30" s="13"/>
      <c r="K30" s="78">
        <f>I87</f>
        <v>0.80125195618153378</v>
      </c>
      <c r="L30" s="74" t="s">
        <v>100</v>
      </c>
      <c r="M30" s="55"/>
      <c r="N30" s="17" t="s">
        <v>101</v>
      </c>
      <c r="P30" s="55"/>
      <c r="Q30" s="60"/>
      <c r="R30" s="64"/>
    </row>
    <row r="31" spans="2:19" s="7" customFormat="1" ht="15" customHeight="1">
      <c r="B31" s="83"/>
      <c r="C31" s="13"/>
      <c r="D31" s="17" t="s">
        <v>95</v>
      </c>
      <c r="E31" s="54"/>
      <c r="F31" s="77">
        <f>MIN(D28,F32)</f>
        <v>75.099999999999994</v>
      </c>
      <c r="G31" s="17" t="s">
        <v>54</v>
      </c>
      <c r="I31" s="17" t="s">
        <v>98</v>
      </c>
      <c r="J31" s="13"/>
      <c r="K31" s="79">
        <f>I88</f>
        <v>60.174021909233183</v>
      </c>
      <c r="L31" s="75" t="s">
        <v>60</v>
      </c>
      <c r="M31" s="55"/>
      <c r="N31" s="75" t="s">
        <v>102</v>
      </c>
      <c r="P31" s="81">
        <f>MIN(D84,D85,F31)</f>
        <v>53.8</v>
      </c>
      <c r="Q31" s="17" t="s">
        <v>54</v>
      </c>
      <c r="R31" s="63"/>
    </row>
    <row r="32" spans="2:19" s="7" customFormat="1" ht="15.75" customHeight="1">
      <c r="B32" s="83"/>
      <c r="C32" s="13"/>
      <c r="D32" s="17" t="s">
        <v>96</v>
      </c>
      <c r="E32" s="54"/>
      <c r="F32" s="60">
        <f>D85</f>
        <v>75.099999999999994</v>
      </c>
      <c r="G32" s="17" t="s">
        <v>54</v>
      </c>
      <c r="I32" s="73" t="s">
        <v>99</v>
      </c>
      <c r="J32" s="13"/>
      <c r="K32" s="80">
        <f>L7*L8/(1024*1024)</f>
        <v>12</v>
      </c>
      <c r="L32" s="76" t="s">
        <v>38</v>
      </c>
      <c r="M32" s="55"/>
      <c r="N32" s="67"/>
      <c r="O32" s="67"/>
      <c r="P32" s="55"/>
      <c r="Q32" s="58"/>
      <c r="R32" s="65"/>
    </row>
    <row r="33" spans="2:18" s="7" customFormat="1" ht="15.75" customHeight="1">
      <c r="B33" s="83"/>
      <c r="C33" s="13"/>
      <c r="D33" s="55"/>
      <c r="E33" s="55"/>
      <c r="F33" s="55"/>
      <c r="G33" s="67"/>
      <c r="H33" s="67"/>
      <c r="I33" s="55"/>
      <c r="J33" s="13"/>
      <c r="K33" s="55"/>
      <c r="L33" s="55"/>
      <c r="M33" s="55"/>
      <c r="N33" s="67"/>
      <c r="O33" s="67"/>
      <c r="P33" s="55"/>
      <c r="Q33" s="55"/>
      <c r="R33" s="55"/>
    </row>
    <row r="34" spans="2:18" s="7" customFormat="1" ht="29.1" customHeight="1">
      <c r="B34" s="83"/>
      <c r="C34" s="13"/>
      <c r="D34" s="82"/>
      <c r="E34" s="82"/>
      <c r="F34" s="13"/>
      <c r="G34" s="13"/>
      <c r="H34" s="13"/>
      <c r="I34" s="13"/>
      <c r="J34" s="13"/>
      <c r="K34" s="82"/>
      <c r="L34" s="82"/>
      <c r="M34" s="13"/>
      <c r="N34" s="13"/>
      <c r="O34" s="13"/>
      <c r="P34" s="13"/>
      <c r="Q34" s="59"/>
      <c r="R34" s="59"/>
    </row>
    <row r="35" spans="2:18" s="7" customFormat="1" ht="15.7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49"/>
      <c r="R35" s="49"/>
    </row>
    <row r="36" spans="2:18" s="7" customFormat="1" ht="23.25">
      <c r="B36" s="20"/>
      <c r="C36" s="21"/>
      <c r="D36" s="21"/>
      <c r="E36" s="21"/>
      <c r="F36" s="22"/>
      <c r="G36" s="21"/>
      <c r="H36" s="21"/>
      <c r="I36" s="21"/>
      <c r="J36" s="21"/>
      <c r="K36" s="21"/>
      <c r="L36" s="23"/>
      <c r="M36" s="21"/>
      <c r="N36" s="21"/>
      <c r="O36" s="24"/>
      <c r="P36" s="21"/>
      <c r="Q36" s="25"/>
      <c r="R36" s="21"/>
    </row>
    <row r="37" spans="2:18" s="7" customFormat="1">
      <c r="B37" s="6"/>
    </row>
    <row r="38" spans="2:18" s="7" customFormat="1">
      <c r="B38" s="50" t="s">
        <v>80</v>
      </c>
    </row>
    <row r="39" spans="2:18" s="7" customFormat="1">
      <c r="B39" s="6"/>
    </row>
    <row r="40" spans="2:18" s="7" customFormat="1" ht="3" customHeight="1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2:18" s="7" customFormat="1">
      <c r="B41" s="6"/>
    </row>
    <row r="42" spans="2:18" s="7" customFormat="1">
      <c r="B42" s="6" t="s">
        <v>81</v>
      </c>
      <c r="C42" s="53" t="s">
        <v>82</v>
      </c>
      <c r="D42" s="7" t="s">
        <v>83</v>
      </c>
    </row>
    <row r="43" spans="2:18" s="7" customFormat="1">
      <c r="B43" s="6"/>
      <c r="C43" s="7" t="s">
        <v>84</v>
      </c>
      <c r="D43" s="7" t="s">
        <v>89</v>
      </c>
    </row>
    <row r="44" spans="2:18" s="7" customFormat="1">
      <c r="B44" s="6"/>
    </row>
    <row r="45" spans="2:18" s="7" customFormat="1">
      <c r="B45" s="6"/>
    </row>
    <row r="46" spans="2:18" s="7" customFormat="1">
      <c r="B46" s="6"/>
    </row>
    <row r="47" spans="2:18" s="7" customFormat="1">
      <c r="B47" s="6"/>
    </row>
    <row r="48" spans="2:18" s="7" customFormat="1" ht="3" customHeight="1"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</row>
    <row r="49" spans="2:7" s="7" customFormat="1" hidden="1">
      <c r="B49" s="6"/>
    </row>
    <row r="50" spans="2:7" s="44" customFormat="1" hidden="1">
      <c r="B50" s="43" t="s">
        <v>85</v>
      </c>
      <c r="D50" s="45" t="s">
        <v>47</v>
      </c>
      <c r="E50" s="45"/>
      <c r="F50" s="45" t="s">
        <v>48</v>
      </c>
      <c r="G50" s="45" t="s">
        <v>49</v>
      </c>
    </row>
    <row r="51" spans="2:7" s="44" customFormat="1" hidden="1">
      <c r="B51" s="43"/>
      <c r="D51" s="45" t="s">
        <v>77</v>
      </c>
      <c r="F51" s="44" t="s">
        <v>78</v>
      </c>
      <c r="G51" s="44" t="s">
        <v>79</v>
      </c>
    </row>
    <row r="52" spans="2:7" s="44" customFormat="1" hidden="1">
      <c r="B52" s="43"/>
      <c r="D52" s="44" t="s">
        <v>103</v>
      </c>
      <c r="F52" s="44" t="s">
        <v>78</v>
      </c>
      <c r="G52" s="44" t="s">
        <v>104</v>
      </c>
    </row>
    <row r="53" spans="2:7" s="44" customFormat="1" hidden="1">
      <c r="B53" s="43"/>
      <c r="D53" s="44" t="s">
        <v>106</v>
      </c>
      <c r="F53" s="44" t="s">
        <v>78</v>
      </c>
      <c r="G53" s="44" t="s">
        <v>107</v>
      </c>
    </row>
    <row r="54" spans="2:7" s="44" customFormat="1">
      <c r="B54" s="43"/>
    </row>
    <row r="55" spans="2:7" s="7" customFormat="1">
      <c r="B55" s="6"/>
    </row>
    <row r="56" spans="2:7" s="7" customFormat="1">
      <c r="B56" s="6"/>
    </row>
    <row r="57" spans="2:7" s="7" customFormat="1">
      <c r="B57" s="6"/>
    </row>
    <row r="58" spans="2:7" s="7" customFormat="1">
      <c r="B58" s="6"/>
    </row>
    <row r="59" spans="2:7" s="7" customFormat="1">
      <c r="B59" s="6"/>
    </row>
    <row r="60" spans="2:7" s="7" customFormat="1">
      <c r="B60" s="6"/>
    </row>
    <row r="61" spans="2:7" s="7" customFormat="1">
      <c r="B61" s="6"/>
    </row>
    <row r="62" spans="2:7" s="7" customFormat="1">
      <c r="B62" s="6"/>
    </row>
    <row r="63" spans="2:7" s="7" customFormat="1">
      <c r="B63" s="6"/>
    </row>
    <row r="64" spans="2:7" s="7" customFormat="1">
      <c r="B64" s="6"/>
    </row>
    <row r="65" spans="1:17" s="7" customFormat="1">
      <c r="B65" s="6"/>
    </row>
    <row r="66" spans="1:17" s="7" customFormat="1">
      <c r="B66" s="6"/>
    </row>
    <row r="70" spans="1:17" s="29" customFormat="1" hidden="1">
      <c r="B70" s="28"/>
    </row>
    <row r="71" spans="1:17" s="3" customFormat="1" hidden="1">
      <c r="B71" s="30"/>
    </row>
    <row r="72" spans="1:17" s="3" customFormat="1" ht="15.75" hidden="1">
      <c r="A72" s="31" t="s">
        <v>22</v>
      </c>
      <c r="B72" s="30"/>
      <c r="L72" s="4" t="s">
        <v>50</v>
      </c>
      <c r="O72" s="3" t="s">
        <v>51</v>
      </c>
      <c r="Q72" s="3" t="s">
        <v>52</v>
      </c>
    </row>
    <row r="73" spans="1:17" s="3" customFormat="1" hidden="1">
      <c r="B73" s="30"/>
      <c r="L73" s="5" t="s">
        <v>53</v>
      </c>
      <c r="O73" s="5">
        <v>66</v>
      </c>
      <c r="Q73" s="5">
        <v>10</v>
      </c>
    </row>
    <row r="74" spans="1:17" s="3" customFormat="1" hidden="1">
      <c r="A74" s="3" t="s">
        <v>13</v>
      </c>
      <c r="B74" s="30"/>
      <c r="D74" s="1">
        <f>(I75/I76)*2</f>
        <v>30</v>
      </c>
      <c r="E74" s="32" t="s">
        <v>1</v>
      </c>
      <c r="L74" s="5" t="s">
        <v>39</v>
      </c>
      <c r="O74" s="5">
        <v>85</v>
      </c>
      <c r="Q74" s="5">
        <v>8</v>
      </c>
    </row>
    <row r="75" spans="1:17" s="3" customFormat="1" hidden="1">
      <c r="A75" s="3" t="s">
        <v>19</v>
      </c>
      <c r="B75" s="30"/>
      <c r="D75" s="1">
        <f>(D93+D94)/(D95*D74*1000000)</f>
        <v>9.611E-5</v>
      </c>
      <c r="E75" s="32" t="s">
        <v>110</v>
      </c>
      <c r="H75" s="32" t="s">
        <v>20</v>
      </c>
      <c r="I75" s="32">
        <v>150</v>
      </c>
      <c r="J75" s="32" t="s">
        <v>1</v>
      </c>
      <c r="Q75" s="5">
        <v>4</v>
      </c>
    </row>
    <row r="76" spans="1:17" s="3" customFormat="1" hidden="1">
      <c r="A76" s="3" t="s">
        <v>12</v>
      </c>
      <c r="B76" s="30"/>
      <c r="D76" s="1">
        <v>4096</v>
      </c>
      <c r="E76" s="32" t="s">
        <v>4</v>
      </c>
      <c r="H76" s="32" t="s">
        <v>18</v>
      </c>
      <c r="I76" s="32">
        <v>10</v>
      </c>
      <c r="J76" s="32"/>
      <c r="Q76" s="5">
        <v>3</v>
      </c>
    </row>
    <row r="77" spans="1:17" s="3" customFormat="1" hidden="1">
      <c r="A77" s="3" t="s">
        <v>2</v>
      </c>
      <c r="B77" s="30"/>
      <c r="D77" s="30">
        <f>L7</f>
        <v>4096</v>
      </c>
      <c r="E77" s="3" t="s">
        <v>4</v>
      </c>
      <c r="F77" s="3" t="s">
        <v>23</v>
      </c>
      <c r="H77" s="32" t="s">
        <v>15</v>
      </c>
      <c r="I77" s="32">
        <v>26</v>
      </c>
      <c r="J77" s="32"/>
      <c r="Q77" s="5">
        <v>2</v>
      </c>
    </row>
    <row r="78" spans="1:17" s="3" customFormat="1" hidden="1">
      <c r="A78" s="3" t="s">
        <v>3</v>
      </c>
      <c r="B78" s="30"/>
      <c r="D78" s="30">
        <f>L8</f>
        <v>3072</v>
      </c>
      <c r="E78" s="3" t="s">
        <v>4</v>
      </c>
      <c r="F78" s="3" t="s">
        <v>23</v>
      </c>
      <c r="H78" s="32" t="s">
        <v>16</v>
      </c>
      <c r="I78" s="32">
        <v>130</v>
      </c>
      <c r="J78" s="32"/>
    </row>
    <row r="79" spans="1:17" s="3" customFormat="1" hidden="1">
      <c r="A79" s="3" t="s">
        <v>5</v>
      </c>
      <c r="B79" s="30"/>
      <c r="D79" s="1">
        <v>32</v>
      </c>
      <c r="H79" s="32" t="s">
        <v>17</v>
      </c>
      <c r="I79" s="32">
        <f>10/(I75*2*1000000)</f>
        <v>3.3333333333333334E-8</v>
      </c>
      <c r="J79" s="32" t="s">
        <v>21</v>
      </c>
    </row>
    <row r="80" spans="1:17" s="3" customFormat="1" hidden="1">
      <c r="A80" s="3" t="s">
        <v>27</v>
      </c>
      <c r="B80" s="30"/>
      <c r="D80" s="1">
        <f>((((D76/D79)+1)*D78)+D92)/(D74*1000000)</f>
        <v>1.3209933333333333E-2</v>
      </c>
      <c r="E80" s="33" t="s">
        <v>110</v>
      </c>
      <c r="H80" s="32" t="s">
        <v>108</v>
      </c>
      <c r="I80" s="32">
        <v>1</v>
      </c>
      <c r="J80" s="32"/>
    </row>
    <row r="81" spans="1:15" s="3" customFormat="1" hidden="1">
      <c r="A81" s="3" t="s">
        <v>0</v>
      </c>
      <c r="B81" s="30"/>
      <c r="D81" s="30">
        <f>F18</f>
        <v>85</v>
      </c>
      <c r="E81" s="3" t="s">
        <v>1</v>
      </c>
      <c r="F81" s="3" t="s">
        <v>23</v>
      </c>
      <c r="H81" s="46" t="s">
        <v>68</v>
      </c>
    </row>
    <row r="82" spans="1:15" s="3" customFormat="1" hidden="1">
      <c r="A82" s="3" t="s">
        <v>6</v>
      </c>
      <c r="B82" s="30"/>
      <c r="D82" s="30">
        <f>F20</f>
        <v>2</v>
      </c>
      <c r="E82" s="3" t="s">
        <v>7</v>
      </c>
      <c r="F82" s="3" t="s">
        <v>23</v>
      </c>
      <c r="H82" s="32" t="s">
        <v>62</v>
      </c>
      <c r="I82" s="32">
        <f>4096*3072*17</f>
        <v>213909504</v>
      </c>
      <c r="J82" s="32" t="s">
        <v>63</v>
      </c>
    </row>
    <row r="83" spans="1:15" s="3" customFormat="1" ht="15.75" hidden="1" thickBot="1">
      <c r="A83" s="3" t="s">
        <v>9</v>
      </c>
      <c r="B83" s="30"/>
      <c r="D83" s="30">
        <f>F19</f>
        <v>8</v>
      </c>
      <c r="E83" s="3" t="s">
        <v>10</v>
      </c>
      <c r="F83" s="3" t="s">
        <v>23</v>
      </c>
      <c r="H83" s="32" t="s">
        <v>57</v>
      </c>
      <c r="I83" s="32">
        <f>D77*D78</f>
        <v>12582912</v>
      </c>
      <c r="J83" s="32" t="s">
        <v>4</v>
      </c>
    </row>
    <row r="84" spans="1:15" s="3" customFormat="1" hidden="1">
      <c r="A84" s="31" t="s">
        <v>8</v>
      </c>
      <c r="B84" s="30"/>
      <c r="D84" s="34">
        <f>ROUNDDOWN((D81*1000000)/(((((((D77/D83)+D82)*D78)+D82)+D92)/I80)),1)</f>
        <v>53.8</v>
      </c>
      <c r="E84" s="35" t="s">
        <v>11</v>
      </c>
      <c r="F84" s="3" t="s">
        <v>25</v>
      </c>
      <c r="H84" s="32" t="s">
        <v>58</v>
      </c>
      <c r="I84" s="32">
        <f>MIN(D85,F31)</f>
        <v>75.099999999999994</v>
      </c>
      <c r="J84" s="32" t="s">
        <v>54</v>
      </c>
    </row>
    <row r="85" spans="1:15" s="3" customFormat="1" ht="15.75" hidden="1" thickBot="1">
      <c r="A85" s="36" t="s">
        <v>14</v>
      </c>
      <c r="B85" s="30"/>
      <c r="D85" s="37">
        <f>ROUNDDOWN((1/(D80+D75)),1)</f>
        <v>75.099999999999994</v>
      </c>
      <c r="E85" s="38" t="s">
        <v>11</v>
      </c>
      <c r="H85" s="32" t="s">
        <v>59</v>
      </c>
      <c r="I85" s="32">
        <f>D84</f>
        <v>53.8</v>
      </c>
      <c r="J85" s="32" t="s">
        <v>54</v>
      </c>
      <c r="K85" s="32" t="s">
        <v>76</v>
      </c>
    </row>
    <row r="86" spans="1:15" s="3" customFormat="1" hidden="1">
      <c r="A86" s="31"/>
      <c r="B86" s="39"/>
      <c r="C86" s="40"/>
      <c r="H86" s="32" t="s">
        <v>61</v>
      </c>
      <c r="I86" s="32">
        <f>IF((I84-I85)*I83&lt;0,0,(I84-I85)*D78)</f>
        <v>65433.599999999991</v>
      </c>
      <c r="J86" s="32" t="s">
        <v>75</v>
      </c>
      <c r="K86" s="32">
        <f>IF((I84-I85)*I83&lt;0,0,(I84-I85)*I83)</f>
        <v>268016025.59999996</v>
      </c>
      <c r="L86" s="32" t="s">
        <v>64</v>
      </c>
    </row>
    <row r="87" spans="1:15" s="3" customFormat="1" hidden="1">
      <c r="A87" s="3" t="s">
        <v>24</v>
      </c>
      <c r="B87" s="41"/>
      <c r="C87" s="42"/>
      <c r="H87" s="32" t="s">
        <v>66</v>
      </c>
      <c r="I87" s="52">
        <f>IF(I86&gt;0,(I90*1024*1024)/(I86*I91*128),"-")</f>
        <v>0.80125195618153378</v>
      </c>
      <c r="J87" s="32" t="s">
        <v>65</v>
      </c>
      <c r="K87" s="47">
        <f>IF(K86&gt;0,I82/K86,"-")</f>
        <v>0.79812206572769961</v>
      </c>
      <c r="L87" s="32" t="s">
        <v>65</v>
      </c>
    </row>
    <row r="88" spans="1:15" s="3" customFormat="1" hidden="1">
      <c r="A88" s="3" t="s">
        <v>26</v>
      </c>
      <c r="B88" s="30"/>
      <c r="H88" s="32" t="s">
        <v>67</v>
      </c>
      <c r="I88" s="48">
        <f>IF(I86&gt;0,I87*I84,"-")</f>
        <v>60.174021909233183</v>
      </c>
      <c r="J88" s="32" t="s">
        <v>60</v>
      </c>
      <c r="O88" s="3">
        <f>ROUNDDOWN((1/(D80+D75)),1)</f>
        <v>75.099999999999994</v>
      </c>
    </row>
    <row r="89" spans="1:15" s="3" customFormat="1" hidden="1">
      <c r="B89" s="30"/>
      <c r="H89" s="32"/>
      <c r="I89" s="32"/>
      <c r="J89" s="32"/>
    </row>
    <row r="90" spans="1:15" s="3" customFormat="1" hidden="1">
      <c r="B90" s="3" t="s">
        <v>70</v>
      </c>
      <c r="C90" s="3">
        <f>(D77*D78)/(1024*1024)</f>
        <v>12</v>
      </c>
      <c r="G90" s="32" t="s">
        <v>71</v>
      </c>
      <c r="I90" s="32">
        <v>2048</v>
      </c>
      <c r="J90" s="32" t="s">
        <v>72</v>
      </c>
    </row>
    <row r="91" spans="1:15" s="3" customFormat="1" hidden="1">
      <c r="B91" s="30"/>
      <c r="G91" s="32" t="s">
        <v>73</v>
      </c>
      <c r="I91" s="32">
        <f>ROUNDUP((D77*10)/128,0)</f>
        <v>320</v>
      </c>
    </row>
    <row r="92" spans="1:15" s="3" customFormat="1" hidden="1">
      <c r="A92" s="3" t="s">
        <v>109</v>
      </c>
      <c r="D92" s="3">
        <v>10</v>
      </c>
      <c r="E92" s="3" t="s">
        <v>7</v>
      </c>
      <c r="G92" s="32" t="s">
        <v>74</v>
      </c>
      <c r="I92" s="32">
        <f>(I90*1024*1024)/(I91*128*D78)</f>
        <v>17.066666666666666</v>
      </c>
      <c r="J92" s="32" t="s">
        <v>60</v>
      </c>
    </row>
    <row r="93" spans="1:15" s="3" customFormat="1" hidden="1">
      <c r="A93" s="3" t="s">
        <v>111</v>
      </c>
      <c r="B93" s="30"/>
      <c r="D93" s="3">
        <v>75</v>
      </c>
      <c r="E93" s="3" t="s">
        <v>7</v>
      </c>
    </row>
    <row r="94" spans="1:15" s="3" customFormat="1" hidden="1">
      <c r="A94" s="3" t="s">
        <v>112</v>
      </c>
      <c r="B94" s="30"/>
      <c r="D94" s="3">
        <f>(10*57*50)+(2*129)</f>
        <v>28758</v>
      </c>
      <c r="E94" s="3" t="s">
        <v>7</v>
      </c>
    </row>
    <row r="95" spans="1:15" s="3" customFormat="1" hidden="1">
      <c r="A95" s="3" t="s">
        <v>113</v>
      </c>
      <c r="B95" s="30"/>
      <c r="D95" s="3">
        <v>10</v>
      </c>
    </row>
  </sheetData>
  <mergeCells count="5">
    <mergeCell ref="K34:L34"/>
    <mergeCell ref="B5:B12"/>
    <mergeCell ref="B16:B21"/>
    <mergeCell ref="D34:E34"/>
    <mergeCell ref="B25:B34"/>
  </mergeCells>
  <conditionalFormatting sqref="D85">
    <cfRule type="cellIs" dxfId="1" priority="2" operator="lessThan">
      <formula>$D$84</formula>
    </cfRule>
  </conditionalFormatting>
  <conditionalFormatting sqref="D84">
    <cfRule type="cellIs" dxfId="0" priority="1" operator="lessThan">
      <formula>$D$85</formula>
    </cfRule>
  </conditionalFormatting>
  <dataValidations count="2">
    <dataValidation type="list" allowBlank="1" showInputMessage="1" showErrorMessage="1" sqref="F18">
      <formula1>$O$73:$O$74</formula1>
    </dataValidation>
    <dataValidation type="list" allowBlank="1" showInputMessage="1" showErrorMessage="1" sqref="F19">
      <formula1>$Q$73:$Q$77</formula1>
    </dataValidation>
  </dataValidations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Q12A65</vt:lpstr>
    </vt:vector>
  </TitlesOfParts>
  <Company>Adimec Advanced Image Systems B.V.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danielle</cp:lastModifiedBy>
  <dcterms:created xsi:type="dcterms:W3CDTF">2012-10-04T10:55:40Z</dcterms:created>
  <dcterms:modified xsi:type="dcterms:W3CDTF">2015-10-07T12:06:57Z</dcterms:modified>
</cp:coreProperties>
</file>